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06/relationships/ui/userCustomization" Target="userCustomization/customUI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showInkAnnotation="0"/>
  <mc:AlternateContent xmlns:mc="http://schemas.openxmlformats.org/markup-compatibility/2006">
    <mc:Choice Requires="x15">
      <x15ac:absPath xmlns:x15ac="http://schemas.microsoft.com/office/spreadsheetml/2010/11/ac" url="https://tjsp-my.sharepoint.com/personal/jhonda_tjsp_jus_br/Documents/Área de Trabalho/Documentos/Documentos/SAAB 5.2.1.1/1. Vigilância/"/>
    </mc:Choice>
  </mc:AlternateContent>
  <xr:revisionPtr revIDLastSave="0" documentId="8_{1BD11742-5A21-400D-812D-A6ECCEE85562}" xr6:coauthVersionLast="47" xr6:coauthVersionMax="47" xr10:uidLastSave="{00000000-0000-0000-0000-000000000000}"/>
  <bookViews>
    <workbookView xWindow="-120" yWindow="-120" windowWidth="29040" windowHeight="15720" tabRatio="875" xr2:uid="{00000000-000D-0000-FFFF-FFFF00000000}"/>
  </bookViews>
  <sheets>
    <sheet name="Home" sheetId="30" r:id="rId1"/>
    <sheet name="Dados Cadastrais" sheetId="14" r:id="rId2"/>
    <sheet name="Indicadores Financeiros" sheetId="20" r:id="rId3"/>
    <sheet name="Uniformes e EPIs" sheetId="27" r:id="rId4"/>
    <sheet name="Relatório Custo" sheetId="7" r:id="rId5"/>
    <sheet name="Cronograma Físico Financeiro" sheetId="18" r:id="rId6"/>
    <sheet name="Resumo por Localidade" sheetId="22" r:id="rId7"/>
    <sheet name="Dúvidas" sheetId="31" r:id="rId8"/>
    <sheet name="Centro de Custo - ISS" sheetId="25" r:id="rId9"/>
    <sheet name="Relatório Custo - Gestor" sheetId="26" r:id="rId10"/>
  </sheets>
  <definedNames>
    <definedName name="_xlnm._FilterDatabase" localSheetId="8" hidden="1">'Centro de Custo - ISS'!$G$1:$H$322</definedName>
    <definedName name="_xlnm._FilterDatabase" localSheetId="4" hidden="1">'Relatório Custo'!$A$2:$MI$351</definedName>
    <definedName name="_Toc414545506" localSheetId="8">'Centro de Custo - ISS'!#REF!</definedName>
    <definedName name="_Toc414545507" localSheetId="8">'Centro de Custo - ISS'!#REF!</definedName>
    <definedName name="_Toc414545508" localSheetId="8">'Centro de Custo - ISS'!#REF!</definedName>
    <definedName name="_Toc414545509" localSheetId="8">'Centro de Custo - ISS'!#REF!</definedName>
    <definedName name="_Toc414545510" localSheetId="8">'Centro de Custo - ISS'!#REF!</definedName>
    <definedName name="_Toc414545511" localSheetId="8">'Centro de Custo - ISS'!#REF!</definedName>
    <definedName name="_Toc414545512" localSheetId="8">'Centro de Custo - ISS'!#REF!</definedName>
    <definedName name="_Toc414545513" localSheetId="8">'Centro de Custo - ISS'!#REF!</definedName>
    <definedName name="_Toc414545514" localSheetId="8">'Centro de Custo - ISS'!#REF!</definedName>
    <definedName name="_xlnm.Print_Area" localSheetId="8">'Centro de Custo - ISS'!$A$1:$E$324</definedName>
    <definedName name="_xlnm.Print_Area" localSheetId="5">'Cronograma Físico Financeiro'!$A$1:$D$33</definedName>
    <definedName name="_xlnm.Print_Area" localSheetId="1">'Dados Cadastrais'!$A$1:$H$20</definedName>
    <definedName name="_xlnm.Print_Area" localSheetId="2">'Indicadores Financeiros'!$A$1:$J$211</definedName>
    <definedName name="_xlnm.Print_Area" localSheetId="4">'Relatório Custo'!$A$1:$AD$351</definedName>
    <definedName name="_xlnm.Print_Area" localSheetId="9">'Relatório Custo - Gestor'!$A$1:$L$9</definedName>
    <definedName name="_xlnm.Print_Area" localSheetId="6">'Resumo por Localidade'!$A$1:$N$73</definedName>
    <definedName name="_xlnm.Print_Titles" localSheetId="4">'Relatório Custo'!$1:$2</definedName>
    <definedName name="_xlnm.Print_Titles" localSheetId="9">'Relatório Custo - Gestor'!$3:$3</definedName>
    <definedName name="_xlnm.Print_Titles" localSheetId="6">'Resumo por Localidade'!$1:$8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3" i="7"/>
  <c r="O29" i="7" l="1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H124" i="20" l="1"/>
  <c r="H123" i="20"/>
  <c r="J16" i="20"/>
  <c r="J18" i="20"/>
  <c r="J79" i="20"/>
  <c r="J78" i="20" l="1"/>
  <c r="P79" i="20" l="1"/>
  <c r="I18" i="7" l="1"/>
  <c r="I19" i="7"/>
  <c r="I20" i="7"/>
  <c r="I24" i="7"/>
  <c r="I11" i="7"/>
  <c r="I5" i="7"/>
  <c r="I6" i="7"/>
  <c r="I7" i="7"/>
  <c r="C11" i="22" l="1"/>
  <c r="D11" i="22"/>
  <c r="E11" i="22"/>
  <c r="F11" i="22"/>
  <c r="G11" i="22"/>
  <c r="H11" i="22"/>
  <c r="B11" i="22"/>
  <c r="I10" i="22"/>
  <c r="J10" i="22"/>
  <c r="K10" i="22"/>
  <c r="L10" i="22"/>
  <c r="M10" i="22"/>
  <c r="N10" i="22"/>
  <c r="C10" i="22"/>
  <c r="D10" i="22"/>
  <c r="E10" i="22"/>
  <c r="F10" i="22"/>
  <c r="G10" i="22"/>
  <c r="H10" i="22"/>
  <c r="B10" i="22"/>
  <c r="J9" i="22" l="1"/>
  <c r="K9" i="22"/>
  <c r="L9" i="22"/>
  <c r="M9" i="22"/>
  <c r="N9" i="22"/>
  <c r="H9" i="22"/>
  <c r="I9" i="22"/>
  <c r="C9" i="22"/>
  <c r="D9" i="22"/>
  <c r="E9" i="22"/>
  <c r="F9" i="22"/>
  <c r="G9" i="22"/>
  <c r="B9" i="22"/>
  <c r="C62" i="22" l="1"/>
  <c r="B62" i="22"/>
  <c r="G62" i="22"/>
  <c r="F62" i="22"/>
  <c r="E62" i="22"/>
  <c r="D62" i="22"/>
  <c r="H62" i="22"/>
  <c r="N72" i="22"/>
  <c r="N54" i="22"/>
  <c r="N60" i="22"/>
  <c r="N68" i="22"/>
  <c r="K72" i="22"/>
  <c r="K68" i="22"/>
  <c r="K60" i="22"/>
  <c r="K54" i="22"/>
  <c r="I60" i="22"/>
  <c r="I68" i="22"/>
  <c r="I54" i="22"/>
  <c r="I72" i="22"/>
  <c r="L60" i="22"/>
  <c r="L72" i="22"/>
  <c r="L68" i="22"/>
  <c r="L54" i="22"/>
  <c r="M72" i="22"/>
  <c r="M60" i="22"/>
  <c r="M68" i="22"/>
  <c r="M54" i="22"/>
  <c r="J60" i="22"/>
  <c r="J72" i="22"/>
  <c r="J68" i="22"/>
  <c r="J54" i="22"/>
  <c r="J117" i="20"/>
  <c r="I117" i="20"/>
  <c r="J116" i="20"/>
  <c r="I116" i="20"/>
  <c r="J115" i="20"/>
  <c r="I115" i="20"/>
  <c r="J114" i="20"/>
  <c r="I114" i="20"/>
  <c r="H10" i="7"/>
  <c r="H11" i="7"/>
  <c r="H16" i="7"/>
  <c r="H17" i="7"/>
  <c r="H18" i="7"/>
  <c r="H19" i="7"/>
  <c r="H20" i="7"/>
  <c r="H23" i="7"/>
  <c r="H24" i="7"/>
  <c r="H4" i="7"/>
  <c r="H5" i="7"/>
  <c r="H6" i="7"/>
  <c r="H7" i="7"/>
  <c r="H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" i="7"/>
  <c r="G114" i="20" l="1"/>
  <c r="G115" i="20"/>
  <c r="G116" i="20"/>
  <c r="G117" i="20"/>
  <c r="G118" i="20"/>
  <c r="G119" i="20"/>
  <c r="L11" i="22" l="1"/>
  <c r="H26" i="7"/>
  <c r="H13" i="7"/>
  <c r="N11" i="22"/>
  <c r="H28" i="7"/>
  <c r="H15" i="7"/>
  <c r="M11" i="22"/>
  <c r="H27" i="7"/>
  <c r="H14" i="7"/>
  <c r="K11" i="22"/>
  <c r="H12" i="7"/>
  <c r="O12" i="7" s="1"/>
  <c r="H25" i="7"/>
  <c r="O25" i="7" s="1"/>
  <c r="J11" i="22"/>
  <c r="H22" i="7"/>
  <c r="H9" i="7"/>
  <c r="O9" i="7" s="1"/>
  <c r="I11" i="22"/>
  <c r="H21" i="7"/>
  <c r="H8" i="7"/>
  <c r="O8" i="7" s="1"/>
  <c r="O13" i="7"/>
  <c r="O14" i="7"/>
  <c r="O15" i="7"/>
  <c r="O16" i="7"/>
  <c r="O17" i="7"/>
  <c r="O23" i="7"/>
  <c r="O26" i="7"/>
  <c r="O27" i="7"/>
  <c r="O28" i="7"/>
  <c r="O10" i="7"/>
  <c r="O4" i="7"/>
  <c r="O3" i="7"/>
  <c r="J77" i="20"/>
  <c r="K11" i="7" l="1"/>
  <c r="O11" i="7"/>
  <c r="K20" i="7"/>
  <c r="O20" i="7"/>
  <c r="K19" i="7"/>
  <c r="O19" i="7"/>
  <c r="K24" i="7"/>
  <c r="O24" i="7"/>
  <c r="K18" i="7"/>
  <c r="O18" i="7"/>
  <c r="O22" i="7"/>
  <c r="K6" i="7"/>
  <c r="O6" i="7"/>
  <c r="O21" i="7"/>
  <c r="K7" i="7"/>
  <c r="O7" i="7"/>
  <c r="K5" i="7"/>
  <c r="O5" i="7"/>
  <c r="I26" i="7"/>
  <c r="K26" i="7"/>
  <c r="I8" i="7"/>
  <c r="K8" i="7"/>
  <c r="K9" i="7"/>
  <c r="I9" i="7"/>
  <c r="I27" i="7"/>
  <c r="K27" i="7"/>
  <c r="I22" i="7"/>
  <c r="K22" i="7"/>
  <c r="I16" i="7"/>
  <c r="K16" i="7" s="1"/>
  <c r="K13" i="7"/>
  <c r="I13" i="7"/>
  <c r="I28" i="7"/>
  <c r="K28" i="7"/>
  <c r="I21" i="7"/>
  <c r="K21" i="7"/>
  <c r="K15" i="7"/>
  <c r="I15" i="7"/>
  <c r="K12" i="7"/>
  <c r="I12" i="7"/>
  <c r="I10" i="7"/>
  <c r="K10" i="7" s="1"/>
  <c r="I25" i="7"/>
  <c r="K25" i="7"/>
  <c r="I23" i="7"/>
  <c r="K23" i="7" s="1"/>
  <c r="I3" i="7"/>
  <c r="K3" i="7" s="1"/>
  <c r="I17" i="7"/>
  <c r="K17" i="7" s="1"/>
  <c r="I4" i="7"/>
  <c r="K4" i="7" s="1"/>
  <c r="K14" i="7"/>
  <c r="I14" i="7"/>
  <c r="Z28" i="7"/>
  <c r="AD28" i="7"/>
  <c r="Z8" i="7"/>
  <c r="Y8" i="7"/>
  <c r="AD8" i="7"/>
  <c r="Z9" i="7"/>
  <c r="Y9" i="7"/>
  <c r="AD9" i="7"/>
  <c r="Z26" i="7"/>
  <c r="AD26" i="7"/>
  <c r="Z15" i="7"/>
  <c r="AD15" i="7"/>
  <c r="AD12" i="7"/>
  <c r="Z12" i="7"/>
  <c r="Z27" i="7"/>
  <c r="AD27" i="7"/>
  <c r="AD25" i="7"/>
  <c r="Z25" i="7"/>
  <c r="Z22" i="7"/>
  <c r="AD22" i="7"/>
  <c r="Z21" i="7"/>
  <c r="AD21" i="7"/>
  <c r="AD14" i="7"/>
  <c r="Z14" i="7"/>
  <c r="AD13" i="7"/>
  <c r="Z13" i="7"/>
  <c r="Y21" i="7"/>
  <c r="Y26" i="7"/>
  <c r="Y28" i="7"/>
  <c r="Y22" i="7"/>
  <c r="Y25" i="7"/>
  <c r="Y15" i="7"/>
  <c r="Y27" i="7"/>
  <c r="Y14" i="7"/>
  <c r="Y12" i="7"/>
  <c r="Y13" i="7"/>
  <c r="N27" i="7"/>
  <c r="N15" i="7"/>
  <c r="N28" i="7"/>
  <c r="N14" i="7"/>
  <c r="K30" i="27" l="1"/>
  <c r="K29" i="27"/>
  <c r="K28" i="27"/>
  <c r="K27" i="27"/>
  <c r="K26" i="27"/>
  <c r="K25" i="27"/>
  <c r="K24" i="27"/>
  <c r="K23" i="27"/>
  <c r="K22" i="27"/>
  <c r="K21" i="27"/>
  <c r="I15" i="27"/>
  <c r="H15" i="27"/>
  <c r="G15" i="27"/>
  <c r="I14" i="27"/>
  <c r="H14" i="27"/>
  <c r="G14" i="27"/>
  <c r="I13" i="27"/>
  <c r="H8" i="27" l="1"/>
  <c r="G9" i="27"/>
  <c r="H9" i="27"/>
  <c r="H10" i="27"/>
  <c r="G11" i="27"/>
  <c r="H11" i="27"/>
  <c r="I12" i="27"/>
  <c r="G13" i="27"/>
  <c r="K32" i="27"/>
  <c r="G8" i="27"/>
  <c r="I8" i="27"/>
  <c r="I9" i="27"/>
  <c r="G10" i="27"/>
  <c r="I10" i="27"/>
  <c r="I11" i="27"/>
  <c r="G12" i="27"/>
  <c r="H12" i="27"/>
  <c r="K31" i="27"/>
  <c r="H13" i="27"/>
  <c r="K33" i="27"/>
  <c r="F36" i="27" l="1"/>
  <c r="I36" i="27"/>
  <c r="G37" i="27"/>
  <c r="I16" i="27"/>
  <c r="I35" i="27"/>
  <c r="G35" i="27"/>
  <c r="H37" i="27"/>
  <c r="H36" i="27"/>
  <c r="H35" i="27"/>
  <c r="G36" i="27"/>
  <c r="I37" i="27"/>
  <c r="F37" i="27"/>
  <c r="H16" i="27"/>
  <c r="F35" i="27"/>
  <c r="G16" i="27"/>
  <c r="J109" i="20"/>
  <c r="T24" i="7"/>
  <c r="AC28" i="7"/>
  <c r="F28" i="7"/>
  <c r="B28" i="7"/>
  <c r="AC27" i="7"/>
  <c r="F27" i="7"/>
  <c r="B27" i="7"/>
  <c r="AC26" i="7"/>
  <c r="F26" i="7"/>
  <c r="B26" i="7"/>
  <c r="AC25" i="7"/>
  <c r="F25" i="7"/>
  <c r="B25" i="7"/>
  <c r="F24" i="7"/>
  <c r="D24" i="7"/>
  <c r="B24" i="7"/>
  <c r="F23" i="7"/>
  <c r="D23" i="7"/>
  <c r="B23" i="7"/>
  <c r="AC22" i="7"/>
  <c r="F22" i="7"/>
  <c r="B22" i="7"/>
  <c r="AC21" i="7"/>
  <c r="F21" i="7"/>
  <c r="B21" i="7"/>
  <c r="F20" i="7"/>
  <c r="D20" i="7"/>
  <c r="B20" i="7"/>
  <c r="F19" i="7"/>
  <c r="D19" i="7"/>
  <c r="B19" i="7"/>
  <c r="F18" i="7"/>
  <c r="D18" i="7"/>
  <c r="B18" i="7"/>
  <c r="F17" i="7"/>
  <c r="D17" i="7"/>
  <c r="B17" i="7"/>
  <c r="F16" i="7"/>
  <c r="D16" i="7"/>
  <c r="B16" i="7"/>
  <c r="D10" i="26"/>
  <c r="C10" i="26"/>
  <c r="D9" i="26"/>
  <c r="C9" i="26"/>
  <c r="D8" i="26"/>
  <c r="C8" i="26"/>
  <c r="D7" i="26"/>
  <c r="C7" i="26"/>
  <c r="D6" i="26"/>
  <c r="C6" i="26"/>
  <c r="D5" i="26"/>
  <c r="C5" i="26"/>
  <c r="D4" i="26"/>
  <c r="C4" i="26"/>
  <c r="E10" i="26"/>
  <c r="B10" i="26"/>
  <c r="E9" i="26"/>
  <c r="B9" i="26"/>
  <c r="E8" i="26"/>
  <c r="B8" i="26"/>
  <c r="E7" i="26"/>
  <c r="B7" i="26"/>
  <c r="E6" i="26"/>
  <c r="B6" i="26"/>
  <c r="E5" i="26"/>
  <c r="B5" i="26"/>
  <c r="E4" i="26"/>
  <c r="B4" i="26"/>
  <c r="T23" i="7" l="1"/>
  <c r="AK24" i="7" s="1"/>
  <c r="T26" i="7"/>
  <c r="I109" i="20"/>
  <c r="J113" i="20"/>
  <c r="J111" i="20"/>
  <c r="J112" i="20"/>
  <c r="J108" i="20"/>
  <c r="T16" i="7"/>
  <c r="I108" i="20"/>
  <c r="I107" i="20"/>
  <c r="I111" i="20"/>
  <c r="T17" i="7"/>
  <c r="I112" i="20"/>
  <c r="T20" i="7"/>
  <c r="T28" i="7"/>
  <c r="T19" i="7"/>
  <c r="I113" i="20"/>
  <c r="J110" i="20"/>
  <c r="I110" i="20"/>
  <c r="J107" i="20"/>
  <c r="T25" i="7"/>
  <c r="T27" i="7"/>
  <c r="F5" i="26"/>
  <c r="F10" i="26"/>
  <c r="H10" i="26" s="1"/>
  <c r="F4" i="26"/>
  <c r="F7" i="26"/>
  <c r="F9" i="26"/>
  <c r="AA28" i="7"/>
  <c r="AA21" i="7"/>
  <c r="AA22" i="7"/>
  <c r="AA25" i="7"/>
  <c r="AA26" i="7"/>
  <c r="AA27" i="7"/>
  <c r="T18" i="7"/>
  <c r="T21" i="7"/>
  <c r="T22" i="7"/>
  <c r="F6" i="26"/>
  <c r="F8" i="26"/>
  <c r="H8" i="22"/>
  <c r="G8" i="22"/>
  <c r="F8" i="22"/>
  <c r="E8" i="22"/>
  <c r="D8" i="22"/>
  <c r="C8" i="22"/>
  <c r="B8" i="22"/>
  <c r="AC15" i="7"/>
  <c r="AC14" i="7"/>
  <c r="AC13" i="7"/>
  <c r="AC12" i="7"/>
  <c r="AC9" i="7"/>
  <c r="AC8" i="7"/>
  <c r="D10" i="7"/>
  <c r="D7" i="7"/>
  <c r="D6" i="7"/>
  <c r="D5" i="7"/>
  <c r="D4" i="7"/>
  <c r="D3" i="7"/>
  <c r="D11" i="7"/>
  <c r="F11" i="7"/>
  <c r="B11" i="7"/>
  <c r="H56" i="22" l="1"/>
  <c r="B10" i="7"/>
  <c r="F10" i="7"/>
  <c r="F15" i="7" l="1"/>
  <c r="B15" i="7"/>
  <c r="F14" i="7"/>
  <c r="B14" i="7"/>
  <c r="F13" i="7"/>
  <c r="B13" i="7"/>
  <c r="F12" i="7"/>
  <c r="B12" i="7"/>
  <c r="J98" i="20"/>
  <c r="J83" i="20"/>
  <c r="D2" i="25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D306" i="25"/>
  <c r="D307" i="25"/>
  <c r="D308" i="25"/>
  <c r="D309" i="25"/>
  <c r="D310" i="25"/>
  <c r="D311" i="25"/>
  <c r="D312" i="25"/>
  <c r="D313" i="25"/>
  <c r="D314" i="25"/>
  <c r="D315" i="25"/>
  <c r="D316" i="25"/>
  <c r="D317" i="25"/>
  <c r="D318" i="25"/>
  <c r="D319" i="25"/>
  <c r="D320" i="25"/>
  <c r="D321" i="25"/>
  <c r="D322" i="25"/>
  <c r="J10" i="26" l="1"/>
  <c r="G56" i="22"/>
  <c r="AA14" i="7"/>
  <c r="J9" i="26"/>
  <c r="J7" i="26"/>
  <c r="J6" i="26"/>
  <c r="J5" i="26"/>
  <c r="J4" i="26"/>
  <c r="J8" i="26"/>
  <c r="H6" i="26"/>
  <c r="H5" i="26"/>
  <c r="H4" i="26"/>
  <c r="H7" i="26"/>
  <c r="H9" i="26"/>
  <c r="H8" i="26"/>
  <c r="E112" i="20"/>
  <c r="J96" i="20"/>
  <c r="AA15" i="7" l="1"/>
  <c r="AA13" i="7"/>
  <c r="AA12" i="7"/>
  <c r="F56" i="22"/>
  <c r="E56" i="22"/>
  <c r="D56" i="22"/>
  <c r="C56" i="22"/>
  <c r="F5" i="7"/>
  <c r="B5" i="7"/>
  <c r="A5" i="22"/>
  <c r="B56" i="22" l="1"/>
  <c r="F4" i="7" l="1"/>
  <c r="F6" i="7"/>
  <c r="F7" i="7"/>
  <c r="F8" i="7"/>
  <c r="F9" i="7"/>
  <c r="F3" i="7"/>
  <c r="E108" i="20"/>
  <c r="J103" i="20" l="1"/>
  <c r="J100" i="20"/>
  <c r="N22" i="7" l="1"/>
  <c r="N26" i="7"/>
  <c r="N21" i="7"/>
  <c r="N25" i="7"/>
  <c r="N18" i="7"/>
  <c r="N3" i="7"/>
  <c r="N6" i="7"/>
  <c r="N17" i="7"/>
  <c r="N7" i="7"/>
  <c r="N4" i="7"/>
  <c r="N20" i="7"/>
  <c r="N19" i="7"/>
  <c r="N16" i="7"/>
  <c r="N24" i="7"/>
  <c r="N5" i="7"/>
  <c r="N10" i="7"/>
  <c r="N13" i="7"/>
  <c r="N23" i="7"/>
  <c r="N11" i="7"/>
  <c r="N12" i="7"/>
  <c r="J92" i="20"/>
  <c r="J81" i="20"/>
  <c r="J80" i="20"/>
  <c r="L18" i="7" l="1"/>
  <c r="L21" i="7"/>
  <c r="L4" i="7"/>
  <c r="Y6" i="7"/>
  <c r="L10" i="7"/>
  <c r="Y11" i="7"/>
  <c r="L6" i="7"/>
  <c r="Y20" i="7"/>
  <c r="L23" i="7"/>
  <c r="Y19" i="7"/>
  <c r="Y10" i="7"/>
  <c r="Y18" i="7"/>
  <c r="L12" i="7"/>
  <c r="Y23" i="7"/>
  <c r="Y7" i="7"/>
  <c r="Y17" i="7"/>
  <c r="Y24" i="7"/>
  <c r="L17" i="7"/>
  <c r="L11" i="7"/>
  <c r="L8" i="7"/>
  <c r="L14" i="7"/>
  <c r="Y5" i="7"/>
  <c r="L25" i="7"/>
  <c r="L5" i="7"/>
  <c r="L20" i="7"/>
  <c r="L27" i="7"/>
  <c r="L24" i="7"/>
  <c r="Y4" i="7"/>
  <c r="L19" i="7"/>
  <c r="L7" i="7"/>
  <c r="J95" i="20"/>
  <c r="J93" i="20"/>
  <c r="J94" i="20"/>
  <c r="B3" i="7"/>
  <c r="L13" i="7" l="1"/>
  <c r="L16" i="7"/>
  <c r="L3" i="7"/>
  <c r="Y3" i="7"/>
  <c r="Y16" i="7"/>
  <c r="L26" i="7"/>
  <c r="L15" i="7"/>
  <c r="L22" i="7"/>
  <c r="L9" i="7"/>
  <c r="L28" i="7"/>
  <c r="G14" i="22"/>
  <c r="G35" i="22" s="1"/>
  <c r="D12" i="22"/>
  <c r="B12" i="22"/>
  <c r="B9" i="7"/>
  <c r="B8" i="7"/>
  <c r="B7" i="7"/>
  <c r="B6" i="7"/>
  <c r="B4" i="7"/>
  <c r="C12" i="22" s="1"/>
  <c r="J23" i="20"/>
  <c r="J22" i="20"/>
  <c r="J20" i="20"/>
  <c r="J19" i="20"/>
  <c r="J17" i="20"/>
  <c r="F3" i="20"/>
  <c r="F2" i="20"/>
  <c r="E12" i="22" l="1"/>
  <c r="H12" i="22"/>
  <c r="M12" i="22"/>
  <c r="G13" i="22"/>
  <c r="L12" i="22"/>
  <c r="N12" i="22"/>
  <c r="D14" i="22"/>
  <c r="D35" i="22" s="1"/>
  <c r="H14" i="22"/>
  <c r="H35" i="22" s="1"/>
  <c r="K12" i="22"/>
  <c r="F12" i="22"/>
  <c r="B14" i="22"/>
  <c r="B35" i="22" s="1"/>
  <c r="C14" i="22"/>
  <c r="C35" i="22" s="1"/>
  <c r="N9" i="7"/>
  <c r="J12" i="22"/>
  <c r="F14" i="22"/>
  <c r="F35" i="22" s="1"/>
  <c r="G20" i="22"/>
  <c r="G42" i="22"/>
  <c r="G43" i="22"/>
  <c r="G21" i="22"/>
  <c r="G34" i="22"/>
  <c r="N8" i="7"/>
  <c r="I12" i="22"/>
  <c r="E14" i="22"/>
  <c r="E35" i="22" s="1"/>
  <c r="I13" i="22"/>
  <c r="T10" i="7"/>
  <c r="AK11" i="7" s="1"/>
  <c r="T11" i="7"/>
  <c r="H13" i="22"/>
  <c r="K13" i="22"/>
  <c r="I14" i="22"/>
  <c r="N14" i="22"/>
  <c r="J14" i="22"/>
  <c r="M14" i="22"/>
  <c r="L13" i="22"/>
  <c r="J13" i="22"/>
  <c r="K14" i="22"/>
  <c r="L14" i="22"/>
  <c r="N13" i="22"/>
  <c r="M13" i="22"/>
  <c r="T15" i="7"/>
  <c r="T12" i="7"/>
  <c r="T14" i="7"/>
  <c r="T13" i="7"/>
  <c r="G12" i="22"/>
  <c r="C11" i="18"/>
  <c r="C17" i="18"/>
  <c r="C13" i="18"/>
  <c r="C18" i="18"/>
  <c r="C14" i="18"/>
  <c r="C10" i="18"/>
  <c r="C22" i="18"/>
  <c r="C20" i="18"/>
  <c r="C19" i="18"/>
  <c r="C21" i="18"/>
  <c r="C8" i="18"/>
  <c r="C6" i="18"/>
  <c r="C4" i="18"/>
  <c r="C16" i="18"/>
  <c r="C12" i="18"/>
  <c r="C7" i="18"/>
  <c r="C9" i="18"/>
  <c r="C3" i="18"/>
  <c r="C5" i="18"/>
  <c r="C15" i="18"/>
  <c r="T5" i="7"/>
  <c r="D13" i="22"/>
  <c r="T6" i="7"/>
  <c r="T3" i="7"/>
  <c r="T4" i="7"/>
  <c r="T9" i="7"/>
  <c r="T8" i="7"/>
  <c r="T7" i="7"/>
  <c r="C13" i="22"/>
  <c r="E13" i="22"/>
  <c r="F13" i="22"/>
  <c r="B13" i="22"/>
  <c r="J58" i="20"/>
  <c r="J57" i="20"/>
  <c r="J56" i="20"/>
  <c r="J55" i="20"/>
  <c r="J48" i="20"/>
  <c r="J44" i="20"/>
  <c r="J41" i="20"/>
  <c r="J43" i="20" s="1"/>
  <c r="J38" i="20"/>
  <c r="J39" i="20" s="1"/>
  <c r="J40" i="20" s="1"/>
  <c r="J33" i="20"/>
  <c r="J27" i="20"/>
  <c r="J24" i="20"/>
  <c r="I68" i="20" s="1"/>
  <c r="J31" i="22" l="1"/>
  <c r="J41" i="22"/>
  <c r="L41" i="22"/>
  <c r="H117" i="20" s="1"/>
  <c r="L31" i="22"/>
  <c r="F31" i="22"/>
  <c r="F41" i="22"/>
  <c r="M41" i="22"/>
  <c r="M31" i="22"/>
  <c r="B41" i="22"/>
  <c r="B31" i="22"/>
  <c r="C41" i="22"/>
  <c r="C31" i="22"/>
  <c r="K31" i="22"/>
  <c r="K41" i="22"/>
  <c r="H116" i="20" s="1"/>
  <c r="D31" i="22"/>
  <c r="D41" i="22"/>
  <c r="N31" i="22"/>
  <c r="N41" i="22"/>
  <c r="E31" i="22"/>
  <c r="E41" i="22"/>
  <c r="G31" i="22"/>
  <c r="G41" i="22"/>
  <c r="H41" i="22"/>
  <c r="H31" i="22"/>
  <c r="G15" i="22"/>
  <c r="I41" i="22"/>
  <c r="H114" i="20" s="1"/>
  <c r="I31" i="22"/>
  <c r="G36" i="22"/>
  <c r="G22" i="22"/>
  <c r="G24" i="22"/>
  <c r="G32" i="22"/>
  <c r="H115" i="20"/>
  <c r="B42" i="22"/>
  <c r="B43" i="22"/>
  <c r="B21" i="22"/>
  <c r="B20" i="22"/>
  <c r="B22" i="22"/>
  <c r="B36" i="22"/>
  <c r="B34" i="22"/>
  <c r="B32" i="22"/>
  <c r="B24" i="22"/>
  <c r="C43" i="22"/>
  <c r="C42" i="22"/>
  <c r="C20" i="22"/>
  <c r="C21" i="22"/>
  <c r="C36" i="22"/>
  <c r="C34" i="22"/>
  <c r="C24" i="22"/>
  <c r="C22" i="22"/>
  <c r="C32" i="22"/>
  <c r="I21" i="22"/>
  <c r="I43" i="22"/>
  <c r="I42" i="22"/>
  <c r="I20" i="22"/>
  <c r="I34" i="22"/>
  <c r="I22" i="22"/>
  <c r="I37" i="22"/>
  <c r="I24" i="22"/>
  <c r="I36" i="22"/>
  <c r="I32" i="22"/>
  <c r="F15" i="22"/>
  <c r="F43" i="22"/>
  <c r="F42" i="22"/>
  <c r="F21" i="22"/>
  <c r="F20" i="22"/>
  <c r="F22" i="22"/>
  <c r="F36" i="22"/>
  <c r="F34" i="22"/>
  <c r="F32" i="22"/>
  <c r="F24" i="22"/>
  <c r="E15" i="22"/>
  <c r="E43" i="22"/>
  <c r="E42" i="22"/>
  <c r="E21" i="22"/>
  <c r="E20" i="22"/>
  <c r="E22" i="22"/>
  <c r="E32" i="22"/>
  <c r="E24" i="22"/>
  <c r="E34" i="22"/>
  <c r="E36" i="22"/>
  <c r="H42" i="22"/>
  <c r="H43" i="22"/>
  <c r="H21" i="22"/>
  <c r="H20" i="22"/>
  <c r="H36" i="22"/>
  <c r="H32" i="22"/>
  <c r="H22" i="22"/>
  <c r="H34" i="22"/>
  <c r="H24" i="22"/>
  <c r="D15" i="22"/>
  <c r="D43" i="22"/>
  <c r="D42" i="22"/>
  <c r="D20" i="22"/>
  <c r="D21" i="22"/>
  <c r="D36" i="22"/>
  <c r="D24" i="22"/>
  <c r="D34" i="22"/>
  <c r="D22" i="22"/>
  <c r="D32" i="22"/>
  <c r="L35" i="22"/>
  <c r="K35" i="22"/>
  <c r="M35" i="22"/>
  <c r="J35" i="22"/>
  <c r="N15" i="22"/>
  <c r="N37" i="22"/>
  <c r="N43" i="22"/>
  <c r="N42" i="22"/>
  <c r="N21" i="22"/>
  <c r="N32" i="22"/>
  <c r="N34" i="22"/>
  <c r="N36" i="22"/>
  <c r="N20" i="22"/>
  <c r="N22" i="22"/>
  <c r="N35" i="22"/>
  <c r="J43" i="22"/>
  <c r="J37" i="22"/>
  <c r="J42" i="22"/>
  <c r="J34" i="22"/>
  <c r="J36" i="22"/>
  <c r="J21" i="22"/>
  <c r="J32" i="22"/>
  <c r="J20" i="22"/>
  <c r="J22" i="22"/>
  <c r="J24" i="22"/>
  <c r="I35" i="22"/>
  <c r="M15" i="22"/>
  <c r="M43" i="22"/>
  <c r="M37" i="22"/>
  <c r="M42" i="22"/>
  <c r="M36" i="22"/>
  <c r="M20" i="22"/>
  <c r="M32" i="22"/>
  <c r="M34" i="22"/>
  <c r="M21" i="22"/>
  <c r="M22" i="22"/>
  <c r="L37" i="22"/>
  <c r="L43" i="22"/>
  <c r="L42" i="22"/>
  <c r="L20" i="22"/>
  <c r="L32" i="22"/>
  <c r="L34" i="22"/>
  <c r="L36" i="22"/>
  <c r="L21" i="22"/>
  <c r="L24" i="22"/>
  <c r="L22" i="22"/>
  <c r="K37" i="22"/>
  <c r="K43" i="22"/>
  <c r="K42" i="22"/>
  <c r="K34" i="22"/>
  <c r="K36" i="22"/>
  <c r="K21" i="22"/>
  <c r="K20" i="22"/>
  <c r="K32" i="22"/>
  <c r="K22" i="22"/>
  <c r="K24" i="22"/>
  <c r="H58" i="22"/>
  <c r="H15" i="22"/>
  <c r="C15" i="22"/>
  <c r="J15" i="22"/>
  <c r="I15" i="22"/>
  <c r="K15" i="22"/>
  <c r="L15" i="22"/>
  <c r="B15" i="22"/>
  <c r="H33" i="22"/>
  <c r="H19" i="22"/>
  <c r="H18" i="22"/>
  <c r="H23" i="22" s="1"/>
  <c r="C58" i="22"/>
  <c r="L58" i="22"/>
  <c r="G58" i="22"/>
  <c r="B58" i="22"/>
  <c r="M58" i="22"/>
  <c r="E58" i="22"/>
  <c r="F58" i="22"/>
  <c r="D58" i="22"/>
  <c r="N58" i="22"/>
  <c r="J58" i="22"/>
  <c r="I58" i="22"/>
  <c r="K58" i="22"/>
  <c r="K19" i="22"/>
  <c r="K18" i="22"/>
  <c r="L18" i="22"/>
  <c r="L19" i="22"/>
  <c r="M18" i="22"/>
  <c r="M19" i="22"/>
  <c r="N18" i="22"/>
  <c r="N19" i="22"/>
  <c r="J18" i="22"/>
  <c r="J19" i="22"/>
  <c r="I18" i="22"/>
  <c r="I19" i="22"/>
  <c r="B33" i="22"/>
  <c r="G33" i="22"/>
  <c r="F33" i="22"/>
  <c r="C33" i="22"/>
  <c r="D33" i="22"/>
  <c r="E33" i="22"/>
  <c r="D18" i="22"/>
  <c r="D37" i="22" s="1"/>
  <c r="D19" i="22"/>
  <c r="G19" i="22"/>
  <c r="G18" i="22"/>
  <c r="G37" i="22" s="1"/>
  <c r="F18" i="22"/>
  <c r="F23" i="22" s="1"/>
  <c r="F19" i="22"/>
  <c r="C18" i="22"/>
  <c r="C37" i="22" s="1"/>
  <c r="C19" i="22"/>
  <c r="B18" i="22"/>
  <c r="B19" i="22"/>
  <c r="E19" i="22"/>
  <c r="E18" i="22"/>
  <c r="J28" i="20"/>
  <c r="J67" i="20" s="1"/>
  <c r="J65" i="20"/>
  <c r="J50" i="20"/>
  <c r="J42" i="20"/>
  <c r="J45" i="20" s="1"/>
  <c r="J54" i="20"/>
  <c r="J66" i="20" s="1"/>
  <c r="J34" i="20"/>
  <c r="J35" i="20" s="1"/>
  <c r="B23" i="22" l="1"/>
  <c r="H37" i="22"/>
  <c r="D23" i="22"/>
  <c r="F37" i="22"/>
  <c r="C23" i="22"/>
  <c r="B37" i="22"/>
  <c r="E23" i="22"/>
  <c r="E37" i="22"/>
  <c r="M24" i="22"/>
  <c r="L23" i="22"/>
  <c r="L25" i="22" s="1"/>
  <c r="M38" i="22"/>
  <c r="K23" i="22"/>
  <c r="K25" i="22" s="1"/>
  <c r="J23" i="22"/>
  <c r="J25" i="22" s="1"/>
  <c r="N38" i="22"/>
  <c r="N44" i="22"/>
  <c r="N23" i="22"/>
  <c r="M23" i="22"/>
  <c r="M44" i="22"/>
  <c r="N24" i="22"/>
  <c r="I23" i="22"/>
  <c r="I25" i="22" s="1"/>
  <c r="G23" i="22"/>
  <c r="H44" i="22"/>
  <c r="H25" i="22"/>
  <c r="H38" i="22"/>
  <c r="K44" i="22"/>
  <c r="K38" i="22"/>
  <c r="J44" i="22"/>
  <c r="I44" i="22"/>
  <c r="L38" i="22"/>
  <c r="J38" i="22"/>
  <c r="L44" i="22"/>
  <c r="I38" i="22"/>
  <c r="G44" i="22"/>
  <c r="B44" i="22"/>
  <c r="C38" i="22"/>
  <c r="G38" i="22"/>
  <c r="C44" i="22"/>
  <c r="B25" i="22"/>
  <c r="D38" i="22"/>
  <c r="E44" i="22"/>
  <c r="F25" i="22"/>
  <c r="F44" i="22"/>
  <c r="D44" i="22"/>
  <c r="J29" i="20"/>
  <c r="J30" i="20" s="1"/>
  <c r="J49" i="20"/>
  <c r="J51" i="20" s="1"/>
  <c r="J69" i="20" s="1"/>
  <c r="J68" i="20"/>
  <c r="J59" i="20"/>
  <c r="J60" i="20" s="1"/>
  <c r="AC24" i="7" s="1"/>
  <c r="E25" i="22" l="1"/>
  <c r="D25" i="22"/>
  <c r="C25" i="22"/>
  <c r="B38" i="22"/>
  <c r="E38" i="22"/>
  <c r="N25" i="22"/>
  <c r="F38" i="22"/>
  <c r="M25" i="22"/>
  <c r="G25" i="22"/>
  <c r="AC20" i="7"/>
  <c r="AC19" i="7"/>
  <c r="AC23" i="7"/>
  <c r="AC18" i="7"/>
  <c r="AC17" i="7"/>
  <c r="AC16" i="7"/>
  <c r="AC11" i="7"/>
  <c r="AC10" i="7"/>
  <c r="AC7" i="7"/>
  <c r="AC6" i="7"/>
  <c r="AC4" i="7"/>
  <c r="AC5" i="7"/>
  <c r="AC3" i="7"/>
  <c r="H70" i="22"/>
  <c r="B70" i="22"/>
  <c r="C70" i="22"/>
  <c r="F70" i="22"/>
  <c r="J70" i="20"/>
  <c r="F68" i="22" s="1"/>
  <c r="J62" i="20"/>
  <c r="D70" i="22" l="1"/>
  <c r="H68" i="22"/>
  <c r="E70" i="22"/>
  <c r="C68" i="22"/>
  <c r="Z11" i="7"/>
  <c r="AA11" i="7" s="1"/>
  <c r="Z4" i="7"/>
  <c r="Z7" i="7"/>
  <c r="Z23" i="7"/>
  <c r="AA23" i="7" s="1"/>
  <c r="Z3" i="7"/>
  <c r="Z5" i="7"/>
  <c r="AA5" i="7" s="1"/>
  <c r="Z20" i="7"/>
  <c r="AA20" i="7" s="1"/>
  <c r="Z10" i="7"/>
  <c r="AA10" i="7" s="1"/>
  <c r="Z24" i="7"/>
  <c r="AA24" i="7" s="1"/>
  <c r="Z19" i="7"/>
  <c r="AA19" i="7" s="1"/>
  <c r="Z18" i="7"/>
  <c r="AA18" i="7" s="1"/>
  <c r="Z17" i="7"/>
  <c r="AA17" i="7" s="1"/>
  <c r="Z6" i="7"/>
  <c r="Z16" i="7"/>
  <c r="AA16" i="7" s="1"/>
  <c r="B68" i="22"/>
  <c r="D68" i="22"/>
  <c r="E68" i="22"/>
  <c r="G68" i="22"/>
  <c r="G70" i="22"/>
  <c r="M24" i="7"/>
  <c r="M22" i="7"/>
  <c r="M18" i="7"/>
  <c r="M23" i="7"/>
  <c r="M21" i="7"/>
  <c r="M17" i="7"/>
  <c r="M28" i="7"/>
  <c r="M20" i="7"/>
  <c r="M25" i="7"/>
  <c r="M27" i="7"/>
  <c r="M19" i="7"/>
  <c r="M26" i="7"/>
  <c r="M16" i="7"/>
  <c r="M10" i="7"/>
  <c r="M11" i="7"/>
  <c r="H26" i="22"/>
  <c r="H27" i="22" s="1"/>
  <c r="L26" i="22"/>
  <c r="L27" i="22" s="1"/>
  <c r="M26" i="22"/>
  <c r="M27" i="22" s="1"/>
  <c r="N26" i="22"/>
  <c r="N27" i="22" s="1"/>
  <c r="K26" i="22"/>
  <c r="K27" i="22" s="1"/>
  <c r="I26" i="22"/>
  <c r="I27" i="22" s="1"/>
  <c r="F26" i="22"/>
  <c r="F27" i="22" s="1"/>
  <c r="J26" i="22"/>
  <c r="J27" i="22" s="1"/>
  <c r="C26" i="22"/>
  <c r="C27" i="22" s="1"/>
  <c r="B26" i="22"/>
  <c r="B27" i="22" s="1"/>
  <c r="E26" i="22"/>
  <c r="E27" i="22" s="1"/>
  <c r="D26" i="22"/>
  <c r="D27" i="22" s="1"/>
  <c r="G26" i="22"/>
  <c r="G27" i="22" s="1"/>
  <c r="M15" i="7"/>
  <c r="P15" i="7" s="1"/>
  <c r="M12" i="7"/>
  <c r="P12" i="7" s="1"/>
  <c r="M13" i="7"/>
  <c r="P13" i="7" s="1"/>
  <c r="M14" i="7"/>
  <c r="P14" i="7" s="1"/>
  <c r="M7" i="7"/>
  <c r="M4" i="7"/>
  <c r="M5" i="7"/>
  <c r="M6" i="7"/>
  <c r="M8" i="7"/>
  <c r="P8" i="7" s="1"/>
  <c r="M9" i="7"/>
  <c r="P9" i="7" s="1"/>
  <c r="M3" i="7"/>
  <c r="P3" i="7" s="1"/>
  <c r="P26" i="7" l="1"/>
  <c r="Q26" i="7" s="1"/>
  <c r="R26" i="7" s="1"/>
  <c r="P4" i="7"/>
  <c r="P27" i="7"/>
  <c r="Q27" i="7" s="1"/>
  <c r="R27" i="7" s="1"/>
  <c r="P17" i="7"/>
  <c r="Q17" i="7" s="1"/>
  <c r="R17" i="7" s="1"/>
  <c r="P21" i="7"/>
  <c r="Q21" i="7" s="1"/>
  <c r="R21" i="7" s="1"/>
  <c r="P23" i="7"/>
  <c r="Q23" i="7" s="1"/>
  <c r="R23" i="7" s="1"/>
  <c r="P22" i="7"/>
  <c r="Q22" i="7" s="1"/>
  <c r="R22" i="7" s="1"/>
  <c r="P10" i="7"/>
  <c r="Q10" i="7" s="1"/>
  <c r="R10" i="7" s="1"/>
  <c r="P28" i="7"/>
  <c r="Q28" i="7" s="1"/>
  <c r="R28" i="7" s="1"/>
  <c r="P16" i="7"/>
  <c r="Q16" i="7" s="1"/>
  <c r="R16" i="7" s="1"/>
  <c r="P25" i="7"/>
  <c r="Q25" i="7" s="1"/>
  <c r="R25" i="7" s="1"/>
  <c r="I46" i="22"/>
  <c r="M46" i="22"/>
  <c r="F28" i="22"/>
  <c r="L46" i="22"/>
  <c r="N46" i="22"/>
  <c r="J46" i="22"/>
  <c r="I28" i="22"/>
  <c r="M28" i="22"/>
  <c r="J28" i="22"/>
  <c r="L28" i="22"/>
  <c r="N28" i="22"/>
  <c r="K28" i="22"/>
  <c r="K46" i="22"/>
  <c r="Q13" i="7"/>
  <c r="Q12" i="7"/>
  <c r="Q14" i="7"/>
  <c r="Q15" i="7"/>
  <c r="Q3" i="7"/>
  <c r="Q9" i="7"/>
  <c r="R9" i="7" s="1"/>
  <c r="S9" i="7" s="1"/>
  <c r="Q8" i="7"/>
  <c r="Q4" i="7" l="1"/>
  <c r="R4" i="7" s="1"/>
  <c r="S4" i="7" s="1"/>
  <c r="N48" i="22"/>
  <c r="N50" i="22" s="1"/>
  <c r="N52" i="22" s="1"/>
  <c r="M48" i="22"/>
  <c r="M50" i="22" s="1"/>
  <c r="M52" i="22" s="1"/>
  <c r="K48" i="22"/>
  <c r="K50" i="22" s="1"/>
  <c r="K52" i="22" s="1"/>
  <c r="K56" i="22" s="1"/>
  <c r="K62" i="22" s="1"/>
  <c r="K64" i="22" s="1"/>
  <c r="J48" i="22"/>
  <c r="J50" i="22" s="1"/>
  <c r="J52" i="22" s="1"/>
  <c r="I48" i="22"/>
  <c r="I50" i="22" s="1"/>
  <c r="I52" i="22" s="1"/>
  <c r="L48" i="22"/>
  <c r="L50" i="22" s="1"/>
  <c r="L52" i="22" s="1"/>
  <c r="S10" i="7"/>
  <c r="U10" i="7" s="1"/>
  <c r="S23" i="7"/>
  <c r="U23" i="7" s="1"/>
  <c r="S17" i="7"/>
  <c r="U17" i="7" s="1"/>
  <c r="S25" i="7"/>
  <c r="U25" i="7" s="1"/>
  <c r="S28" i="7"/>
  <c r="U28" i="7" s="1"/>
  <c r="S22" i="7"/>
  <c r="U22" i="7" s="1"/>
  <c r="S21" i="7"/>
  <c r="U21" i="7" s="1"/>
  <c r="S27" i="7"/>
  <c r="U27" i="7" s="1"/>
  <c r="S16" i="7"/>
  <c r="U16" i="7" s="1"/>
  <c r="S26" i="7"/>
  <c r="U26" i="7" s="1"/>
  <c r="H46" i="22"/>
  <c r="H28" i="22"/>
  <c r="G46" i="22"/>
  <c r="G28" i="22"/>
  <c r="B46" i="22"/>
  <c r="B28" i="22"/>
  <c r="C46" i="22"/>
  <c r="C48" i="22" s="1"/>
  <c r="F46" i="22"/>
  <c r="D46" i="22"/>
  <c r="E46" i="22"/>
  <c r="C28" i="22"/>
  <c r="E28" i="22"/>
  <c r="D28" i="22"/>
  <c r="R3" i="7"/>
  <c r="S3" i="7" s="1"/>
  <c r="R12" i="7"/>
  <c r="R13" i="7"/>
  <c r="R8" i="7"/>
  <c r="S8" i="7" s="1"/>
  <c r="R15" i="7"/>
  <c r="R14" i="7"/>
  <c r="A23" i="18"/>
  <c r="C23" i="18" s="1"/>
  <c r="I56" i="22" l="1"/>
  <c r="I62" i="22" s="1"/>
  <c r="I64" i="22" s="1"/>
  <c r="L56" i="22"/>
  <c r="L62" i="22" s="1"/>
  <c r="L64" i="22" s="1"/>
  <c r="J56" i="22"/>
  <c r="J62" i="22" s="1"/>
  <c r="J64" i="22" s="1"/>
  <c r="M56" i="22"/>
  <c r="M62" i="22" s="1"/>
  <c r="M64" i="22" s="1"/>
  <c r="N56" i="22"/>
  <c r="N62" i="22" s="1"/>
  <c r="N64" i="22" s="1"/>
  <c r="G48" i="22"/>
  <c r="B48" i="22"/>
  <c r="B50" i="22" s="1"/>
  <c r="AD16" i="7"/>
  <c r="V16" i="7"/>
  <c r="W16" i="7" s="1"/>
  <c r="V21" i="7"/>
  <c r="W21" i="7" s="1"/>
  <c r="V25" i="7"/>
  <c r="W25" i="7" s="1"/>
  <c r="V27" i="7"/>
  <c r="W27" i="7" s="1"/>
  <c r="V22" i="7"/>
  <c r="W22" i="7" s="1"/>
  <c r="V28" i="7"/>
  <c r="W28" i="7" s="1"/>
  <c r="AD17" i="7"/>
  <c r="V17" i="7"/>
  <c r="W17" i="7" s="1"/>
  <c r="AD23" i="7"/>
  <c r="V23" i="7"/>
  <c r="W23" i="7" s="1"/>
  <c r="AD10" i="7"/>
  <c r="V10" i="7"/>
  <c r="W10" i="7" s="1"/>
  <c r="S15" i="7"/>
  <c r="U15" i="7" s="1"/>
  <c r="S13" i="7"/>
  <c r="U13" i="7" s="1"/>
  <c r="S12" i="7"/>
  <c r="U12" i="7" s="1"/>
  <c r="V26" i="7"/>
  <c r="W26" i="7" s="1"/>
  <c r="S14" i="7"/>
  <c r="U14" i="7" s="1"/>
  <c r="U8" i="7"/>
  <c r="V8" i="7" s="1"/>
  <c r="U4" i="7"/>
  <c r="I5" i="26"/>
  <c r="K5" i="26" s="1"/>
  <c r="L5" i="26" s="1"/>
  <c r="U3" i="7"/>
  <c r="I4" i="26"/>
  <c r="K4" i="26" s="1"/>
  <c r="L4" i="26" s="1"/>
  <c r="I9" i="26"/>
  <c r="K9" i="26" s="1"/>
  <c r="L9" i="26" s="1"/>
  <c r="U9" i="7"/>
  <c r="V9" i="7" s="1"/>
  <c r="A24" i="18"/>
  <c r="AA9" i="7"/>
  <c r="AA8" i="7"/>
  <c r="V13" i="7" l="1"/>
  <c r="V12" i="7"/>
  <c r="V15" i="7"/>
  <c r="V14" i="7"/>
  <c r="W14" i="7" s="1"/>
  <c r="AD4" i="7"/>
  <c r="V4" i="7"/>
  <c r="AD3" i="7"/>
  <c r="V3" i="7"/>
  <c r="G50" i="22"/>
  <c r="G52" i="22" s="1"/>
  <c r="G54" i="22" s="1"/>
  <c r="G60" i="22" s="1"/>
  <c r="I66" i="22"/>
  <c r="J66" i="22"/>
  <c r="M66" i="22"/>
  <c r="L66" i="22"/>
  <c r="C50" i="22"/>
  <c r="B52" i="22"/>
  <c r="B54" i="22" s="1"/>
  <c r="B60" i="22" s="1"/>
  <c r="N66" i="22"/>
  <c r="W12" i="7"/>
  <c r="W13" i="7"/>
  <c r="C24" i="18"/>
  <c r="A25" i="18"/>
  <c r="AA7" i="7"/>
  <c r="AA4" i="7"/>
  <c r="G64" i="22" l="1"/>
  <c r="G72" i="22"/>
  <c r="B64" i="22"/>
  <c r="B72" i="22"/>
  <c r="W15" i="7"/>
  <c r="C52" i="22"/>
  <c r="C54" i="22" s="1"/>
  <c r="C60" i="22" s="1"/>
  <c r="K66" i="22"/>
  <c r="W8" i="7"/>
  <c r="W9" i="7"/>
  <c r="W4" i="7"/>
  <c r="W3" i="7"/>
  <c r="C25" i="18"/>
  <c r="A26" i="18"/>
  <c r="AA6" i="7"/>
  <c r="AA3" i="7"/>
  <c r="C64" i="22" l="1"/>
  <c r="C72" i="22"/>
  <c r="AA351" i="7"/>
  <c r="C26" i="18"/>
  <c r="A27" i="18"/>
  <c r="D27" i="18" s="1"/>
  <c r="D22" i="18"/>
  <c r="D6" i="18"/>
  <c r="D24" i="18"/>
  <c r="D8" i="18"/>
  <c r="D13" i="18"/>
  <c r="D23" i="18"/>
  <c r="D7" i="18"/>
  <c r="D26" i="18"/>
  <c r="D10" i="18"/>
  <c r="D12" i="18"/>
  <c r="D17" i="18"/>
  <c r="D11" i="18"/>
  <c r="D14" i="18"/>
  <c r="D16" i="18"/>
  <c r="D21" i="18"/>
  <c r="D5" i="18"/>
  <c r="D15" i="18"/>
  <c r="D18" i="18"/>
  <c r="D20" i="18"/>
  <c r="D4" i="18"/>
  <c r="D25" i="18"/>
  <c r="D9" i="18"/>
  <c r="D19" i="18"/>
  <c r="D3" i="18"/>
  <c r="B66" i="22" l="1"/>
  <c r="G66" i="22"/>
  <c r="D34" i="18"/>
  <c r="C27" i="18"/>
  <c r="A28" i="18"/>
  <c r="C66" i="22" l="1"/>
  <c r="C28" i="18"/>
  <c r="A29" i="18"/>
  <c r="D28" i="18"/>
  <c r="C29" i="18" l="1"/>
  <c r="A30" i="18"/>
  <c r="D29" i="18"/>
  <c r="C30" i="18" l="1"/>
  <c r="A31" i="18"/>
  <c r="D30" i="18"/>
  <c r="C31" i="18" l="1"/>
  <c r="A32" i="18"/>
  <c r="D31" i="18"/>
  <c r="C32" i="18" l="1"/>
  <c r="C33" i="18" s="1"/>
  <c r="D32" i="18"/>
  <c r="D33" i="18" l="1"/>
  <c r="E110" i="20" l="1"/>
  <c r="P6" i="7" l="1"/>
  <c r="P19" i="7"/>
  <c r="Q19" i="7" s="1"/>
  <c r="R19" i="7" s="1"/>
  <c r="S19" i="7" s="1"/>
  <c r="E48" i="22"/>
  <c r="E113" i="20"/>
  <c r="E109" i="20"/>
  <c r="E111" i="20"/>
  <c r="P20" i="7" l="1"/>
  <c r="Q20" i="7" s="1"/>
  <c r="R20" i="7" s="1"/>
  <c r="S20" i="7" s="1"/>
  <c r="P7" i="7"/>
  <c r="F48" i="22"/>
  <c r="P24" i="7"/>
  <c r="Q24" i="7" s="1"/>
  <c r="R24" i="7" s="1"/>
  <c r="S24" i="7" s="1"/>
  <c r="P11" i="7"/>
  <c r="H48" i="22"/>
  <c r="P18" i="7"/>
  <c r="Q18" i="7" s="1"/>
  <c r="R18" i="7" s="1"/>
  <c r="S18" i="7" s="1"/>
  <c r="P5" i="7"/>
  <c r="D48" i="22"/>
  <c r="U19" i="7"/>
  <c r="I7" i="26"/>
  <c r="K7" i="26" s="1"/>
  <c r="L7" i="26" s="1"/>
  <c r="E50" i="22"/>
  <c r="Q6" i="7"/>
  <c r="R6" i="7" s="1"/>
  <c r="S6" i="7" l="1"/>
  <c r="U6" i="7" s="1"/>
  <c r="AD19" i="7"/>
  <c r="V19" i="7"/>
  <c r="W19" i="7" s="1"/>
  <c r="Q11" i="7"/>
  <c r="R11" i="7" s="1"/>
  <c r="U24" i="7"/>
  <c r="I10" i="26"/>
  <c r="K10" i="26" s="1"/>
  <c r="L10" i="26" s="1"/>
  <c r="Q5" i="7"/>
  <c r="R5" i="7" s="1"/>
  <c r="E52" i="22"/>
  <c r="E54" i="22" s="1"/>
  <c r="E60" i="22" s="1"/>
  <c r="H50" i="22"/>
  <c r="D50" i="22"/>
  <c r="U18" i="7"/>
  <c r="I6" i="26"/>
  <c r="K6" i="26" s="1"/>
  <c r="L6" i="26" s="1"/>
  <c r="F50" i="22"/>
  <c r="Q7" i="7"/>
  <c r="R7" i="7" s="1"/>
  <c r="U20" i="7"/>
  <c r="I8" i="26"/>
  <c r="K8" i="26" s="1"/>
  <c r="L8" i="26" s="1"/>
  <c r="E64" i="22" l="1"/>
  <c r="E72" i="22"/>
  <c r="AD6" i="7"/>
  <c r="V6" i="7"/>
  <c r="S5" i="7"/>
  <c r="U5" i="7" s="1"/>
  <c r="AD24" i="7"/>
  <c r="V24" i="7"/>
  <c r="W24" i="7" s="1"/>
  <c r="S11" i="7"/>
  <c r="U11" i="7" s="1"/>
  <c r="S7" i="7"/>
  <c r="U7" i="7" s="1"/>
  <c r="AD18" i="7"/>
  <c r="V18" i="7"/>
  <c r="W18" i="7" s="1"/>
  <c r="AD20" i="7"/>
  <c r="V20" i="7"/>
  <c r="W20" i="7" s="1"/>
  <c r="H52" i="22"/>
  <c r="H54" i="22" s="1"/>
  <c r="H60" i="22" s="1"/>
  <c r="D52" i="22"/>
  <c r="D54" i="22" s="1"/>
  <c r="D60" i="22" s="1"/>
  <c r="F52" i="22"/>
  <c r="F54" i="22" s="1"/>
  <c r="F60" i="22" s="1"/>
  <c r="W6" i="7" l="1"/>
  <c r="D64" i="22"/>
  <c r="D72" i="22"/>
  <c r="F64" i="22"/>
  <c r="F72" i="22"/>
  <c r="H64" i="22"/>
  <c r="H72" i="22"/>
  <c r="AD11" i="7"/>
  <c r="V11" i="7"/>
  <c r="W11" i="7" s="1"/>
  <c r="AD7" i="7"/>
  <c r="V7" i="7"/>
  <c r="W7" i="7" s="1"/>
  <c r="AD5" i="7"/>
  <c r="V5" i="7"/>
  <c r="B9" i="18" l="1"/>
  <c r="B4" i="18"/>
  <c r="B12" i="18"/>
  <c r="B3" i="18"/>
  <c r="B27" i="18"/>
  <c r="B8" i="18"/>
  <c r="V351" i="7"/>
  <c r="B28" i="18"/>
  <c r="B23" i="18"/>
  <c r="B16" i="18"/>
  <c r="B25" i="18"/>
  <c r="B15" i="18"/>
  <c r="B26" i="18"/>
  <c r="B24" i="18"/>
  <c r="B14" i="18"/>
  <c r="B18" i="18"/>
  <c r="B21" i="18"/>
  <c r="B20" i="18"/>
  <c r="B11" i="18"/>
  <c r="B22" i="18"/>
  <c r="B10" i="18"/>
  <c r="W5" i="7"/>
  <c r="W351" i="7" s="1"/>
  <c r="B19" i="18"/>
  <c r="B17" i="18"/>
  <c r="B6" i="18"/>
  <c r="B5" i="18"/>
  <c r="B13" i="18"/>
  <c r="B7" i="18"/>
  <c r="B32" i="18"/>
  <c r="B31" i="18"/>
  <c r="B30" i="18"/>
  <c r="B29" i="18"/>
  <c r="E66" i="22"/>
  <c r="B33" i="18" l="1"/>
  <c r="B34" i="18" s="1"/>
  <c r="H66" i="22"/>
  <c r="D66" i="22"/>
  <c r="F66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I31" authorId="0" shapeId="0" xr:uid="{00000000-0006-0000-0400-000001000000}">
      <text>
        <r>
          <rPr>
            <sz val="8"/>
            <color indexed="81"/>
            <rFont val="Segoe UI"/>
            <family val="2"/>
          </rPr>
          <t>Cláusula sexta - Parágrafo quinto – Em razão da peculiaridade do contrato de trabalho intermitente, não será concedida assistência médica aos empregados nestas condições, sendo que as empresas substituirão a assistência médica por uma cesta básica, já contemplada no valor da diária previsto na cláusula 5ª, do presente Termo Aditivo (R$7,58 - sete reais e cinquenta e oito reais na proporção dos períodos de efetivo trabalho).</t>
        </r>
      </text>
    </comment>
    <comment ref="J31" authorId="0" shapeId="0" xr:uid="{BC361BFD-1864-46A7-8ACA-53912B5A1FF6}">
      <text>
        <r>
          <rPr>
            <sz val="8"/>
            <color indexed="81"/>
            <rFont val="Segoe UI"/>
            <family val="2"/>
          </rPr>
          <t>Cláusula sexta - Parágrafo quinto – Em razão da peculiaridade do contrato de trabalho intermitente, não será concedida assistência médica aos empregados nestas condições, sendo que as empresas substituirão a assistência médica por uma cesta básica, já contemplada no valor da diária previsto na cláusula 5ª, do presente Termo Aditivo (R$7,58 - sete reais e cinquenta e oito reais na proporção dos períodos de efetivo trabalho).</t>
        </r>
      </text>
    </comment>
    <comment ref="K31" authorId="0" shapeId="0" xr:uid="{84997D92-A2EC-4C6B-88B7-A3B02A8EA78D}">
      <text>
        <r>
          <rPr>
            <sz val="8"/>
            <color indexed="81"/>
            <rFont val="Segoe UI"/>
            <family val="2"/>
          </rPr>
          <t>Cláusula sexta - Parágrafo quinto – Em razão da peculiaridade do contrato de trabalho intermitente, não será concedida assistência médica aos empregados nestas condições, sendo que as empresas substituirão a assistência médica por uma cesta básica, já contemplada no valor da diária previsto na cláusula 5ª, do presente Termo Aditivo (R$7,58 - sete reais e cinquenta e oito reais na proporção dos períodos de efetivo trabalho).</t>
        </r>
      </text>
    </comment>
    <comment ref="L31" authorId="0" shapeId="0" xr:uid="{BD9E31AF-DDBE-4A61-B3C7-A057DCA06C05}">
      <text>
        <r>
          <rPr>
            <sz val="8"/>
            <color indexed="81"/>
            <rFont val="Segoe UI"/>
            <family val="2"/>
          </rPr>
          <t>Cláusula sexta - Parágrafo quinto – Em razão da peculiaridade do contrato de trabalho intermitente, não será concedida assistência médica aos empregados nestas condições, sendo que as empresas substituirão a assistência médica por uma cesta básica, já contemplada no valor da diária previsto na cláusula 5ª, do presente Termo Aditivo (R$7,58 - sete reais e cinquenta e oito reais na proporção dos períodos de efetivo trabalho).</t>
        </r>
      </text>
    </comment>
    <comment ref="I41" authorId="0" shapeId="0" xr:uid="{00000000-0006-0000-0400-000005000000}">
      <text>
        <r>
          <rPr>
            <sz val="8"/>
            <color indexed="81"/>
            <rFont val="Segoe UI"/>
            <family val="2"/>
          </rPr>
          <t>Cláusula sexta - Parágrafo sexto – Ainda em razão da peculiaridade do contrato de trabalho intermitente, as empresas de vigilância ficam desobrigadas do patrocínio integral do Curso de Reciclagem e demais encargos previstos na Cláusula 30 da Convenção Coletiva de Trabalho vigente, sendo que as empresas substituirão tal benefício pelo pagamento indenizatório à título de “Indenização de Curso de Reciclagem”, já contemplado no valor da diária previsto na cláusula 5ª, do presente Termo Aditivo (R$ 6,37 - seis reais e trinta e sete centavos -  na proporção dos períodos de efetivo trabalho).</t>
        </r>
      </text>
    </comment>
    <comment ref="J41" authorId="0" shapeId="0" xr:uid="{EFDA9872-8C27-4230-857D-A106A796ACFB}">
      <text>
        <r>
          <rPr>
            <sz val="8"/>
            <color indexed="81"/>
            <rFont val="Segoe UI"/>
            <family val="2"/>
          </rPr>
          <t>Cláusula sexta - Parágrafo sexto – Ainda em razão da peculiaridade do contrato de trabalho intermitente, as empresas de vigilância ficam desobrigadas do patrocínio integral do Curso de Reciclagem e demais encargos previstos na Cláusula 30 da Convenção Coletiva de Trabalho vigente, sendo que as empresas substituirão tal benefício pelo pagamento indenizatório à título de “Indenização de Curso de Reciclagem”, já contemplado no valor da diária previsto na cláusula 5ª, do presente Termo Aditivo (R$ 6,37 - seis reais e trinta e sete centavos -  na proporção dos períodos de efetivo trabalho).</t>
        </r>
      </text>
    </comment>
    <comment ref="K41" authorId="0" shapeId="0" xr:uid="{2FA1CB86-D7DB-410B-BDE5-B3CB34805E4F}">
      <text>
        <r>
          <rPr>
            <sz val="8"/>
            <color indexed="81"/>
            <rFont val="Segoe UI"/>
            <family val="2"/>
          </rPr>
          <t>Cláusula sexta - Parágrafo sexto – Ainda em razão da peculiaridade do contrato de trabalho intermitente, as empresas de vigilância ficam desobrigadas do patrocínio integral do Curso de Reciclagem e demais encargos previstos na Cláusula 30 da Convenção Coletiva de Trabalho vigente, sendo que as empresas substituirão tal benefício pelo pagamento indenizatório à título de “Indenização de Curso de Reciclagem”, já contemplado no valor da diária previsto na cláusula 5ª, do presente Termo Aditivo (R$ 6,37 - seis reais e trinta e sete centavos -  na proporção dos períodos de efetivo trabalho).</t>
        </r>
      </text>
    </comment>
    <comment ref="L41" authorId="0" shapeId="0" xr:uid="{381297AF-AB57-497E-9F11-08C4FBEAD33D}">
      <text>
        <r>
          <rPr>
            <sz val="8"/>
            <color indexed="81"/>
            <rFont val="Segoe UI"/>
            <family val="2"/>
          </rPr>
          <t>Cláusula sexta - Parágrafo sexto – Ainda em razão da peculiaridade do contrato de trabalho intermitente, as empresas de vigilância ficam desobrigadas do patrocínio integral do Curso de Reciclagem e demais encargos previstos na Cláusula 30 da Convenção Coletiva de Trabalho vigente, sendo que as empresas substituirão tal benefício pelo pagamento indenizatório à título de “Indenização de Curso de Reciclagem”, já contemplado no valor da diária previsto na cláusula 5ª, do presente Termo Aditivo (R$ 6,37 - seis reais e trinta e sete centavos -  na proporção dos períodos de efetivo trabalho).</t>
        </r>
      </text>
    </comment>
  </commentList>
</comments>
</file>

<file path=xl/sharedStrings.xml><?xml version="1.0" encoding="utf-8"?>
<sst xmlns="http://schemas.openxmlformats.org/spreadsheetml/2006/main" count="1074" uniqueCount="622">
  <si>
    <t>FICHA CADASTRAL DA EMPRESA</t>
  </si>
  <si>
    <t>Pregão Nº</t>
  </si>
  <si>
    <t>Processo nº</t>
  </si>
  <si>
    <t>Sim</t>
  </si>
  <si>
    <t>DADOS CADASTRAIS</t>
  </si>
  <si>
    <t>Não</t>
  </si>
  <si>
    <t>CNPJ</t>
  </si>
  <si>
    <t>Razão Social</t>
  </si>
  <si>
    <t>Endereço</t>
  </si>
  <si>
    <t>Bairro</t>
  </si>
  <si>
    <t>Cidade</t>
  </si>
  <si>
    <t>UF</t>
  </si>
  <si>
    <t>CEP</t>
  </si>
  <si>
    <t>Telefone</t>
  </si>
  <si>
    <t>e-mail</t>
  </si>
  <si>
    <t>REPRESENTANTE(S) DA EMPRESA</t>
  </si>
  <si>
    <t>CPF</t>
  </si>
  <si>
    <t>Nome</t>
  </si>
  <si>
    <t>Sócio Administrador?</t>
  </si>
  <si>
    <t>Signatário do Contrato?</t>
  </si>
  <si>
    <t>(sim/não)</t>
  </si>
  <si>
    <t>Local</t>
  </si>
  <si>
    <t>Data</t>
  </si>
  <si>
    <t>Assinatura</t>
  </si>
  <si>
    <t>DADOS DA EMPRESA</t>
  </si>
  <si>
    <t>Incidência cumulativa de PIS e de COFINS</t>
  </si>
  <si>
    <t>Incidência não-cumulativa de PIS e de COFINS</t>
  </si>
  <si>
    <t>Simples Nacional</t>
  </si>
  <si>
    <t>Sindicato da Categoria</t>
  </si>
  <si>
    <t>SESVESP X SEEVISSP</t>
  </si>
  <si>
    <t>Data Base</t>
  </si>
  <si>
    <t>1º JANEIRO</t>
  </si>
  <si>
    <t>Fornecimento de cesta básica aos funcionários? (sim/não)</t>
  </si>
  <si>
    <t>Regime Tributário</t>
  </si>
  <si>
    <t>SAT (RATxFAP) (%)</t>
  </si>
  <si>
    <t>Despesas Administrativas(%)</t>
  </si>
  <si>
    <t>Lucro Bruto (%)</t>
  </si>
  <si>
    <t>COFINS</t>
  </si>
  <si>
    <t>PIS</t>
  </si>
  <si>
    <t>Desoneração da folha (%)</t>
  </si>
  <si>
    <t>Vigência Contratual</t>
  </si>
  <si>
    <t>meses</t>
  </si>
  <si>
    <t>Módulo I - Encargos previdenciários e FGTS</t>
  </si>
  <si>
    <t>Percentual</t>
  </si>
  <si>
    <t>Previdência Social</t>
  </si>
  <si>
    <t>SESI/SESC</t>
  </si>
  <si>
    <t>SENAI/SENAC</t>
  </si>
  <si>
    <t>INCRA</t>
  </si>
  <si>
    <t>Salário Educação</t>
  </si>
  <si>
    <t>FGTS</t>
  </si>
  <si>
    <t>SAT (RAT X FAP)</t>
  </si>
  <si>
    <t>SEBRAE</t>
  </si>
  <si>
    <t>Total Módulo I</t>
  </si>
  <si>
    <t>Módulo II - 13º Salário e Adicional de Férias</t>
  </si>
  <si>
    <t>13º  salário</t>
  </si>
  <si>
    <t>Abono de férias</t>
  </si>
  <si>
    <t>Encargos sociais incidentes</t>
  </si>
  <si>
    <t>Total Módulo II</t>
  </si>
  <si>
    <t>Módulo III - Afastamento Maternidade</t>
  </si>
  <si>
    <t>Licença maternidade</t>
  </si>
  <si>
    <t>Total Módulo III</t>
  </si>
  <si>
    <t>Módulo IV - Provisão para Rescisão</t>
  </si>
  <si>
    <t>Aviso prévio indenizado</t>
  </si>
  <si>
    <t>Incidência FGTS sobre o aviso prévio indenizado</t>
  </si>
  <si>
    <t>Multa FGTS sobre o aviso prévio indenizado</t>
  </si>
  <si>
    <t>Aviso prévio trabalhado</t>
  </si>
  <si>
    <t>Encargos sociais incidentes sobre aviso prévio trabalhado</t>
  </si>
  <si>
    <t>Multa FGTS sobre o aviso prévio trabalhado</t>
  </si>
  <si>
    <t>Indenização Adicional</t>
  </si>
  <si>
    <t>Total Módulo IV</t>
  </si>
  <si>
    <t>Módulo V - Multa de FGTS</t>
  </si>
  <si>
    <t>Remuneração</t>
  </si>
  <si>
    <t>Férias + Adicional de Férias</t>
  </si>
  <si>
    <t>13º Salário</t>
  </si>
  <si>
    <t>Total Módulo V</t>
  </si>
  <si>
    <t>Módulo VI - Custo de Reposição do Profissional Ausente</t>
  </si>
  <si>
    <t>Férias</t>
  </si>
  <si>
    <t>Auxílio doença</t>
  </si>
  <si>
    <t>Licença paternidade</t>
  </si>
  <si>
    <t>Faltas legais</t>
  </si>
  <si>
    <t>Acidente de trabalho</t>
  </si>
  <si>
    <t>Total Módulo VI</t>
  </si>
  <si>
    <t>Total dos Encargos Sociais e Trabalhistas</t>
  </si>
  <si>
    <t>PERCENTUAIS DE CONTIGENCIAMENTO MENSAL DE ENCARGOS TRABALHISTAS</t>
  </si>
  <si>
    <t>Abono de Férias</t>
  </si>
  <si>
    <t>Incidência de encargos trabalhistas: percentual total do Módulo I s/ os itens 1, 2 e 3</t>
  </si>
  <si>
    <t>Multa FGTS</t>
  </si>
  <si>
    <t>Percentual a ser contingenciado - Resolução CNJ nº 169/2013</t>
  </si>
  <si>
    <t>PARÂMETROS DE CÁLCULO</t>
  </si>
  <si>
    <t>Dias estimados - posto 12x36 de segunda-feira a domingo</t>
  </si>
  <si>
    <t>Dias úteis estimados - posto 44 horas de segunda-feira a sexta-feira</t>
  </si>
  <si>
    <t>Dias estimados - posto 12x36 de segunda-feira a domingo - cálculo do posto/dia</t>
  </si>
  <si>
    <t>Dias úteis estimados - posto 44 horas de segunda-feira a sexta-feira - cálculo posto/dia</t>
  </si>
  <si>
    <t>Base de cálculo mensal para o repositor - posto 12x36 de segunda-feira a domingo</t>
  </si>
  <si>
    <t>Base de cálculo mensal para o repositor - posto 44 horas semanais de segunda-feira a sexta</t>
  </si>
  <si>
    <t>Base de cálculo mensal para o repositor - posto 12 horas diárias de segunda-feira a sexta-feira</t>
  </si>
  <si>
    <t>Adicional Noturno</t>
  </si>
  <si>
    <t>Adicional de horas noturna reduzida</t>
  </si>
  <si>
    <t>Periculosidade</t>
  </si>
  <si>
    <t>Cobertura do Intervalo de Repouso e Alimentação</t>
  </si>
  <si>
    <t>Gratificação Vigilante Líder</t>
  </si>
  <si>
    <t>Adicional de hora extra</t>
  </si>
  <si>
    <t>Vigilantes Eventuais - Valor Termo Aditivo - Cláusula 6ª - §5º - R$/Dia</t>
  </si>
  <si>
    <t>Vigilantes Eventuais - Valor Termo Aditivo - Cláusula 6ª - § 6º - R$/Dia</t>
  </si>
  <si>
    <t>VALORES REFERENCIAIS - CONVENÇÃO COLETIVA DA CATEGORIA</t>
  </si>
  <si>
    <t>Salário base Mensal</t>
  </si>
  <si>
    <t>Adicional de periculosidade</t>
  </si>
  <si>
    <t>Horas Noturnas Reduzidas</t>
  </si>
  <si>
    <t>Benefícios</t>
  </si>
  <si>
    <t>Assistência médica</t>
  </si>
  <si>
    <t>Valor Mensal</t>
  </si>
  <si>
    <t>Parte do Empregado</t>
  </si>
  <si>
    <t>Auxílio funeral</t>
  </si>
  <si>
    <t xml:space="preserve">Cesta básica </t>
  </si>
  <si>
    <t>Norma Regulamentadora Nº 07</t>
  </si>
  <si>
    <t>Seguro de vida</t>
  </si>
  <si>
    <t>Vale refeição /ticket refeição</t>
  </si>
  <si>
    <t>Valor diário</t>
  </si>
  <si>
    <t>RELAÇÃO DE POSTOS DE VIGILÂNCIA</t>
  </si>
  <si>
    <t>Código</t>
  </si>
  <si>
    <t>Função</t>
  </si>
  <si>
    <t>Unidade</t>
  </si>
  <si>
    <t>Cobertura intervalo intrajornada (repositor)</t>
  </si>
  <si>
    <t>Qtde de Funcionários por posto</t>
  </si>
  <si>
    <t>Dias estimados por mês por funcionário</t>
  </si>
  <si>
    <t>Curso de reciclagem por funcionário (R$)</t>
  </si>
  <si>
    <t>EPIs e Materiais por funcionário (preencher aba "Uniformes e EPIs") - R$</t>
  </si>
  <si>
    <t>Uniformes por funcionário (preencher aba "Uniformes e EPIs") - R$</t>
  </si>
  <si>
    <t>Posto de vigilante noturno: 12 horas - escala de 12 x 36 de segunda-feira a domingo</t>
  </si>
  <si>
    <t>Posto/Dia</t>
  </si>
  <si>
    <t>S</t>
  </si>
  <si>
    <t>Posto de vigilante diurno - com almocista (repositor) - 12 horas - escala de 12 x 36 de segunda-feira a domingo</t>
  </si>
  <si>
    <t>N</t>
  </si>
  <si>
    <t>Posto de vigilante diurno - com almocista (repositor) - 44 horas semanais de segunda a sexta-feira - arma não letal</t>
  </si>
  <si>
    <t xml:space="preserve">Posto de vigilante diurno - com almocista (repositor) - 12 horas diárias - segunda a sexta-feira </t>
  </si>
  <si>
    <t>Posto de vigilante diurno: com almocista (repositor) - 44 horas semanais de segunda a sexta-feira - desarmado</t>
  </si>
  <si>
    <t>Posto de vigilante diurno Líder - com almocista (repositor/repositora) - 12 horas - escala de 12X36 de segunda a domingo</t>
  </si>
  <si>
    <t>Posto/Dia Líder</t>
  </si>
  <si>
    <t>Posto de vigilante diurno - com almocista (repositor/repositora) - 44 horas semanais - segunda a sexta-feira - com uso de arma de fogo</t>
  </si>
  <si>
    <t>Vigilante diurno - eventual - pagamento hora trabalhada - desarmado</t>
  </si>
  <si>
    <t>Posto/Hora</t>
  </si>
  <si>
    <t>EPI = 680023</t>
  </si>
  <si>
    <t>Vigilante noturno - eventual - pagamento hora trabalhada - desarmado</t>
  </si>
  <si>
    <t>Vigilante diurno - eventual - arma não letal</t>
  </si>
  <si>
    <t>EPI = 680018</t>
  </si>
  <si>
    <t>Vigilante noturno - eventual - arma de fogo</t>
  </si>
  <si>
    <t>EPI = 680028</t>
  </si>
  <si>
    <t>Vigilante diurno - Hora extra - Posto 44 horas semanais - arma de fogo</t>
  </si>
  <si>
    <t>Posto/Hora extra</t>
  </si>
  <si>
    <t>Vigilante noturno - Hora extra - Posto 44 horas semanais - arma de fogo</t>
  </si>
  <si>
    <t>MUNICÍPIOS DE PRESTAÇÃO DE SERVIÇOS</t>
  </si>
  <si>
    <t>Lote</t>
  </si>
  <si>
    <t>Município</t>
  </si>
  <si>
    <t>ISSQN</t>
  </si>
  <si>
    <t>BDI *</t>
  </si>
  <si>
    <t>Vale Transporte - (Ida e Volta)</t>
  </si>
  <si>
    <t>Mês de inicio da Prestação do Serviço</t>
  </si>
  <si>
    <t>SÃO PAULO</t>
  </si>
  <si>
    <t>ÁGUAS DE LINDÓIA</t>
  </si>
  <si>
    <t>*Fórmula BDI sem desoneração = (1+taxa_adm) x (1+taxa_lucro) / (1-%PIS-%COFINS-%ISS) -1</t>
  </si>
  <si>
    <t>Fórmula BDI com desoneração = (1+taxa_adm) x (1+taxa_lucro) / (1-%PIS-%COFINS-%ISS-%Desoneração) -1</t>
  </si>
  <si>
    <t>1. UNIFORMES</t>
  </si>
  <si>
    <t>Descrição Uniformes</t>
  </si>
  <si>
    <t>Vida Útil (meses)</t>
  </si>
  <si>
    <t>Valor Unitário (R$)</t>
  </si>
  <si>
    <t>Qtde por Funcionário</t>
  </si>
  <si>
    <t>44 horas</t>
  </si>
  <si>
    <t>12 horas 
(seg a sex)</t>
  </si>
  <si>
    <t>12 horas (seg a dom)</t>
  </si>
  <si>
    <t>Qtde de funcionários por posto</t>
  </si>
  <si>
    <t>Valor mensal (R$)</t>
  </si>
  <si>
    <t>Calça</t>
  </si>
  <si>
    <t>Camisa de manga longa</t>
  </si>
  <si>
    <t>Camisa de manga curta</t>
  </si>
  <si>
    <t>Par de calçado</t>
  </si>
  <si>
    <t>Par de meia</t>
  </si>
  <si>
    <t>Cinto</t>
  </si>
  <si>
    <t>Jaqueta de frio com emblema da empresa</t>
  </si>
  <si>
    <t>Crachá de identificação</t>
  </si>
  <si>
    <t>TOTAL MENSAL UNIFORMES POR POSTO (R$)</t>
  </si>
  <si>
    <t>2. EPIs e MATERIAIS</t>
  </si>
  <si>
    <t>Descrição Equipamentos e Materiais</t>
  </si>
  <si>
    <t>Vida útil (meses)</t>
  </si>
  <si>
    <t>Quantidade por Posto</t>
  </si>
  <si>
    <t>Valor Unit / 
Vida Útil (R$)</t>
  </si>
  <si>
    <t xml:space="preserve">12 horas 
(2a a 6a) </t>
  </si>
  <si>
    <t xml:space="preserve">12 horas diurno 
(2a a domingo) </t>
  </si>
  <si>
    <t xml:space="preserve">12 horas noturno 
(2a a domingo) </t>
  </si>
  <si>
    <t>Colete balístico</t>
  </si>
  <si>
    <t>Capa individual</t>
  </si>
  <si>
    <t>Cordão Fiel</t>
  </si>
  <si>
    <t>Revólver calibre 38</t>
  </si>
  <si>
    <t>Munição calibre 38</t>
  </si>
  <si>
    <t>Arma não letal à base de óleos vegetais, de graduação alimentícia</t>
  </si>
  <si>
    <t>Tonfa</t>
  </si>
  <si>
    <t>Porta Tonfa</t>
  </si>
  <si>
    <t>Rádios HT’S de Tecnologia digital com fones auriculares, carregadores e suporte de cinto - Vigilantes</t>
  </si>
  <si>
    <t>Lanterna</t>
  </si>
  <si>
    <t xml:space="preserve">Cinturão Largo Ajustável </t>
  </si>
  <si>
    <t>Coldre para arma de fogo</t>
  </si>
  <si>
    <t>Coldre para arma não letal</t>
  </si>
  <si>
    <t>Valor Mensal (R$)</t>
  </si>
  <si>
    <t>TOTAL EQUIPAMENTOS MENSAL - POSTO VIGILANTE ARMADO</t>
  </si>
  <si>
    <t>TOTAL EQUIPAMENTOS MENSAL - POSTO VIGILANTE ARMA NÃO LETAL</t>
  </si>
  <si>
    <t>TOTAL EQUIPAMENTOS MENSAL - POSTO VIGILANTE DESARMADO</t>
  </si>
  <si>
    <t>Quantidade de Funcionários por Posto</t>
  </si>
  <si>
    <t>Localidade</t>
  </si>
  <si>
    <t>Mês de início</t>
  </si>
  <si>
    <t>Qtde de Funcionários por Posto</t>
  </si>
  <si>
    <t>Dias/horas estimadas por mês</t>
  </si>
  <si>
    <t xml:space="preserve">Dias estimados por mês - cálculo posto/dia 
</t>
  </si>
  <si>
    <t xml:space="preserve">Qtde de Postos ou horas
</t>
  </si>
  <si>
    <t xml:space="preserve">Qtde de dias ou horas por mês.
</t>
  </si>
  <si>
    <t>Valor mensal por funcionário</t>
  </si>
  <si>
    <t>Valor unitário posto ou hora</t>
  </si>
  <si>
    <t>Valor unitário posto/dia ou posto/hora</t>
  </si>
  <si>
    <t xml:space="preserve">BDI
</t>
  </si>
  <si>
    <t xml:space="preserve">Valor unit. mensal do posto/dia ou posto/hora c/BDI
</t>
  </si>
  <si>
    <t xml:space="preserve">Valor Total Mensal
</t>
  </si>
  <si>
    <t xml:space="preserve">Valor Total período contratual
</t>
  </si>
  <si>
    <t>Remuneração Total</t>
  </si>
  <si>
    <t>Percentual 
Resol. CNJ nº 169/13</t>
  </si>
  <si>
    <t>Valor Mensal a Contigenciar</t>
  </si>
  <si>
    <t xml:space="preserve">Desconto - recesso forense
</t>
  </si>
  <si>
    <t>Desconto de atraso por minuto</t>
  </si>
  <si>
    <t>Encargos</t>
  </si>
  <si>
    <t>Materiais, cursos e uniformes</t>
  </si>
  <si>
    <t>Cobertura do Intervalo intrajornada</t>
  </si>
  <si>
    <t>Valor Mensal por funcionário</t>
  </si>
  <si>
    <t>Total</t>
  </si>
  <si>
    <t>CRONOGRAMA FÍSICO FINANCEIRO</t>
  </si>
  <si>
    <t>Mês</t>
  </si>
  <si>
    <t>Valor mensal</t>
  </si>
  <si>
    <t>Valor Total da Remuneração</t>
  </si>
  <si>
    <t>Valor a ser contingenciado</t>
  </si>
  <si>
    <t>PLANILHA DE FORMAÇÃO DE PREÇOS - VIGILÂNCIA PATRIMONIAL</t>
  </si>
  <si>
    <t>Qtde Meses Contrato</t>
  </si>
  <si>
    <t>Postos de vigilância</t>
  </si>
  <si>
    <t>Quantidades de funcionários por posto</t>
  </si>
  <si>
    <t>Dias estimados para o cálculo mensal do posto</t>
  </si>
  <si>
    <t>QUANTIDADE DE POSTOS ou HORAS</t>
  </si>
  <si>
    <t>Qtde total de dias x posto ou Qtde de Horas</t>
  </si>
  <si>
    <t>Mês de início da vigência contratual</t>
  </si>
  <si>
    <t>Mão de obra (remuneração)</t>
  </si>
  <si>
    <t>Periculosidade (30% sobre o salário base)</t>
  </si>
  <si>
    <t xml:space="preserve">Horas Noturnas Reduzidas </t>
  </si>
  <si>
    <t>Gratificação Líder</t>
  </si>
  <si>
    <t>Adicional Hora Extra</t>
  </si>
  <si>
    <t>Subtotal</t>
  </si>
  <si>
    <t>Encargos previdenciários e trabalhistas</t>
  </si>
  <si>
    <t>Total - remuneração + encargos</t>
  </si>
  <si>
    <t>Benefícios - Convenção Coletiva da Categoria</t>
  </si>
  <si>
    <t>Vale Transporte</t>
  </si>
  <si>
    <t>Curso de reciclagem (valor do curso / 24 meses)</t>
  </si>
  <si>
    <t>EPIs</t>
  </si>
  <si>
    <t>Uniformes</t>
  </si>
  <si>
    <t>Valor total p/ funcionário s/ cobertura intrajornada</t>
  </si>
  <si>
    <t>Cobertura do intervalo intrajornada</t>
  </si>
  <si>
    <t>Valor total por funcionário</t>
  </si>
  <si>
    <t>Valor total por posto</t>
  </si>
  <si>
    <t>Valor total posto/dia sem BDI</t>
  </si>
  <si>
    <t>Valor total posto/hora sem BDI</t>
  </si>
  <si>
    <t>Benefício e Despesas Indiretas (BDI)</t>
  </si>
  <si>
    <t>Valor total posto/dia com BDI</t>
  </si>
  <si>
    <t>Valor total posto/hora com BDI</t>
  </si>
  <si>
    <t>Valor Total Mensal</t>
  </si>
  <si>
    <t>Valor Total do Contrato</t>
  </si>
  <si>
    <t>Valor Mensal a Contigenciar (Resol. 169/2013)</t>
  </si>
  <si>
    <t>Desconto Recesso Forense</t>
  </si>
  <si>
    <t>TRIBUNAL DE JUSTIÇA DE SÃO PAULO</t>
  </si>
  <si>
    <t>Secretaria de Administração e Abastecimento</t>
  </si>
  <si>
    <t>Dúvidas frequentes</t>
  </si>
  <si>
    <t xml:space="preserve">
1. A planilha fornecida é de uso obrigatório?</t>
  </si>
  <si>
    <t>O uso da planilha disponibilizada no edital é orientativa e de uso opcional, no entanto, a licitante deverá apresentar o cálculo  quando solicitado pelo/pela pregoeiro/pregoeira.</t>
  </si>
  <si>
    <t>2. Qual Convenção Coletiva foi utilizada para a elaboração dos custos?</t>
  </si>
  <si>
    <t xml:space="preserve">O instrumento coletivo adotado foi o nº SP000101/2024. As demais fontes de referência para elaboração dos valores estimativos constam na nota de rodapé da aba Indicadores Financeiros. </t>
  </si>
  <si>
    <t xml:space="preserve">3. É obrigatório o uso da Convenção Coletiva de Trabalho indicada no Edital? </t>
  </si>
  <si>
    <t>A Convenção Coletiva de Trabalho adotada para estimativa da contratação não é de uso obrigatório pelas licitantes. O enquadramento sindical deverá estar de acordo com a atividade econômica preponderante da empresa.</t>
  </si>
  <si>
    <t xml:space="preserve">4. Qual é a alíquota de ISS considerada? </t>
  </si>
  <si>
    <t xml:space="preserve">A licitante deverá validar e inserir a informação das alíquotas de cada localidade de acordo com a legislação municipal em vigor. </t>
  </si>
  <si>
    <t xml:space="preserve">5. Qual tarifa de transporte público deve ser considerada? </t>
  </si>
  <si>
    <t>A empresa deverá estimar o vale-transporte seguindo a realidade de seus custos, de acordo com os normativos vigentes e da sua gestão de recursos humanos. Para fins estimativos da contratação, adotou-se o valor unitário da passagem na cidade de São Paulo de R$ 4,83 multiplicado por 2 (ida e volta).</t>
  </si>
  <si>
    <t>RA</t>
  </si>
  <si>
    <t>ISS</t>
  </si>
  <si>
    <t>BDI</t>
  </si>
  <si>
    <t>Legislação</t>
  </si>
  <si>
    <t>R05</t>
  </si>
  <si>
    <t>Adamantina</t>
  </si>
  <si>
    <t>R04</t>
  </si>
  <si>
    <t>Aguaí</t>
  </si>
  <si>
    <t>LC 1953/2003</t>
  </si>
  <si>
    <t>Águas de Lindóia</t>
  </si>
  <si>
    <t>R03</t>
  </si>
  <si>
    <t>Agudos</t>
  </si>
  <si>
    <t>R06</t>
  </si>
  <si>
    <t>Altinópolis</t>
  </si>
  <si>
    <t>Americana</t>
  </si>
  <si>
    <t>Américo Brasiliense</t>
  </si>
  <si>
    <t>Amparo</t>
  </si>
  <si>
    <t>R02</t>
  </si>
  <si>
    <t>Andradina</t>
  </si>
  <si>
    <t>R10</t>
  </si>
  <si>
    <t>Angatuba</t>
  </si>
  <si>
    <t>R09</t>
  </si>
  <si>
    <t>Aparecida</t>
  </si>
  <si>
    <t>Apiaí</t>
  </si>
  <si>
    <t>Araçatuba</t>
  </si>
  <si>
    <t>Araraquara</t>
  </si>
  <si>
    <t>Araras</t>
  </si>
  <si>
    <t>Artur Nogueira</t>
  </si>
  <si>
    <t>R01</t>
  </si>
  <si>
    <t>Arujá</t>
  </si>
  <si>
    <t>Assis</t>
  </si>
  <si>
    <t>Atibaia</t>
  </si>
  <si>
    <t>Auriflama</t>
  </si>
  <si>
    <t>Avaré</t>
  </si>
  <si>
    <t>Bananal</t>
  </si>
  <si>
    <t>Bariri</t>
  </si>
  <si>
    <t>Barra Bonita</t>
  </si>
  <si>
    <t>R08</t>
  </si>
  <si>
    <t>Barretos</t>
  </si>
  <si>
    <t>Barueri</t>
  </si>
  <si>
    <t>Bastos</t>
  </si>
  <si>
    <t>Batatais</t>
  </si>
  <si>
    <t>Bauru</t>
  </si>
  <si>
    <t>Bebedouro</t>
  </si>
  <si>
    <t>R07</t>
  </si>
  <si>
    <t>Bertioga</t>
  </si>
  <si>
    <t>Bilac</t>
  </si>
  <si>
    <t>Birigui</t>
  </si>
  <si>
    <t>Boituva</t>
  </si>
  <si>
    <t>Borborema</t>
  </si>
  <si>
    <t>Botucatu</t>
  </si>
  <si>
    <t>Bragança Paulista</t>
  </si>
  <si>
    <t>Brodowski</t>
  </si>
  <si>
    <t>Brotas</t>
  </si>
  <si>
    <t>Buri</t>
  </si>
  <si>
    <t>Buritama</t>
  </si>
  <si>
    <t>Cabreúva</t>
  </si>
  <si>
    <t>Caçapava</t>
  </si>
  <si>
    <t>Cachoeira Paulista</t>
  </si>
  <si>
    <t>Caconde</t>
  </si>
  <si>
    <t>Cafelândia</t>
  </si>
  <si>
    <t>Caieiras</t>
  </si>
  <si>
    <t>Cajamar</t>
  </si>
  <si>
    <t>Cajuru</t>
  </si>
  <si>
    <t>Campinas</t>
  </si>
  <si>
    <t>Campo Limpo Paulista</t>
  </si>
  <si>
    <t>Campos do Jordão</t>
  </si>
  <si>
    <t>Cananéia</t>
  </si>
  <si>
    <t>Cândido Mota</t>
  </si>
  <si>
    <t>Capão Bonito</t>
  </si>
  <si>
    <t>Capivari</t>
  </si>
  <si>
    <t>Caraguatatuba</t>
  </si>
  <si>
    <t>Carapicuíba</t>
  </si>
  <si>
    <t>Cardoso</t>
  </si>
  <si>
    <t>Casa Branca</t>
  </si>
  <si>
    <t>Catanduva</t>
  </si>
  <si>
    <t>Cerqueira Cesar</t>
  </si>
  <si>
    <t>Cerquilho</t>
  </si>
  <si>
    <t>Cesário Lange</t>
  </si>
  <si>
    <t>LEI Nº 1074, DE 18 DE DEZEMBRO DE 2003</t>
  </si>
  <si>
    <t>Chavantes</t>
  </si>
  <si>
    <t>Colina</t>
  </si>
  <si>
    <t>Conchal</t>
  </si>
  <si>
    <t>Conchas</t>
  </si>
  <si>
    <t>Cordeirópolis</t>
  </si>
  <si>
    <t>Cosmópolis</t>
  </si>
  <si>
    <t>Cotia</t>
  </si>
  <si>
    <t>Cravinhos</t>
  </si>
  <si>
    <t>Cruzeiro</t>
  </si>
  <si>
    <t>Cubatão</t>
  </si>
  <si>
    <t>Cunha</t>
  </si>
  <si>
    <t>Descalvado</t>
  </si>
  <si>
    <t>Diadema</t>
  </si>
  <si>
    <t>Dois Córregos</t>
  </si>
  <si>
    <t>Dracena</t>
  </si>
  <si>
    <t>Duartina</t>
  </si>
  <si>
    <t>Eldorado</t>
  </si>
  <si>
    <t>Embu das Artes</t>
  </si>
  <si>
    <t>Embu-Guaçu</t>
  </si>
  <si>
    <t>Espírito Santo do Pinhal</t>
  </si>
  <si>
    <t>Estrela D'Oeste</t>
  </si>
  <si>
    <t>Fartura</t>
  </si>
  <si>
    <t>Fernandópolis</t>
  </si>
  <si>
    <t>Ferraz de Vasconcelos</t>
  </si>
  <si>
    <t>Flórida Paulista</t>
  </si>
  <si>
    <t>Franca</t>
  </si>
  <si>
    <t>Francisco Morato</t>
  </si>
  <si>
    <t>Franco da Rocha</t>
  </si>
  <si>
    <t>Gália</t>
  </si>
  <si>
    <t>Garça</t>
  </si>
  <si>
    <t>General Salgado</t>
  </si>
  <si>
    <t>Getulina</t>
  </si>
  <si>
    <t>Guaíra</t>
  </si>
  <si>
    <t>Guará</t>
  </si>
  <si>
    <t>Guararapes</t>
  </si>
  <si>
    <t>Guararema</t>
  </si>
  <si>
    <t>Guaratinguetá</t>
  </si>
  <si>
    <t>Guariba</t>
  </si>
  <si>
    <t>Guarujá</t>
  </si>
  <si>
    <t>Guarulhos</t>
  </si>
  <si>
    <t>Hortolândia</t>
  </si>
  <si>
    <t>Iacanga</t>
  </si>
  <si>
    <t>Ibaté</t>
  </si>
  <si>
    <t>Ibitinga</t>
  </si>
  <si>
    <t>Ibiúna</t>
  </si>
  <si>
    <t>Iepê</t>
  </si>
  <si>
    <t>Igarapava</t>
  </si>
  <si>
    <t>Iguape</t>
  </si>
  <si>
    <t>Ilha Solteira</t>
  </si>
  <si>
    <t>Ilhabela</t>
  </si>
  <si>
    <t>Indaiatuba</t>
  </si>
  <si>
    <t>Ipaussu</t>
  </si>
  <si>
    <t>Ipuã</t>
  </si>
  <si>
    <t>Itaberá</t>
  </si>
  <si>
    <t>Itaí</t>
  </si>
  <si>
    <t>Itajobi</t>
  </si>
  <si>
    <t>Itanhaém</t>
  </si>
  <si>
    <t>Itapecerica da Serra</t>
  </si>
  <si>
    <t>Itapetininga</t>
  </si>
  <si>
    <t>Itapeva</t>
  </si>
  <si>
    <t>Itapevi</t>
  </si>
  <si>
    <t>Itapira</t>
  </si>
  <si>
    <t>Itápolis</t>
  </si>
  <si>
    <t>Itaporanga</t>
  </si>
  <si>
    <t>Itaquaquecetuba</t>
  </si>
  <si>
    <t>Itararé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</si>
  <si>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</si>
  <si>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</si>
  <si>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</si>
  <si>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</si>
  <si>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</si>
  <si>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</si>
  <si>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</si>
  <si>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</si>
  <si>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Jacareí</t>
  </si>
  <si>
    <t>Jacupiranga</t>
  </si>
  <si>
    <t>Jaguariúna</t>
  </si>
  <si>
    <t>Jales</t>
  </si>
  <si>
    <t>Jandira</t>
  </si>
  <si>
    <t>Jardinópolis</t>
  </si>
  <si>
    <t>Jarinu</t>
  </si>
  <si>
    <t>Jaú</t>
  </si>
  <si>
    <t>José Bonifácio</t>
  </si>
  <si>
    <t>Jundiaí</t>
  </si>
  <si>
    <t>Junqueirópolis</t>
  </si>
  <si>
    <t>Juquiá</t>
  </si>
  <si>
    <t>Laranjal Paulista</t>
  </si>
  <si>
    <t>Leme</t>
  </si>
  <si>
    <t>Lençóis Paulista</t>
  </si>
  <si>
    <t>Limeira</t>
  </si>
  <si>
    <t>Lins</t>
  </si>
  <si>
    <t>Lorena</t>
  </si>
  <si>
    <t>Louveira</t>
  </si>
  <si>
    <t>Lucélia</t>
  </si>
  <si>
    <t>Macatuba</t>
  </si>
  <si>
    <t>Macaubal</t>
  </si>
  <si>
    <t>Mairinque</t>
  </si>
  <si>
    <t>Mairiporã</t>
  </si>
  <si>
    <t>Maracaí</t>
  </si>
  <si>
    <t>Marília</t>
  </si>
  <si>
    <t>Martinópolis</t>
  </si>
  <si>
    <t>Matão</t>
  </si>
  <si>
    <t>Mauá</t>
  </si>
  <si>
    <t>Miguelópolis</t>
  </si>
  <si>
    <t>Miracatu</t>
  </si>
  <si>
    <t>Mirandópolis</t>
  </si>
  <si>
    <t>Mirante do Paranapanema</t>
  </si>
  <si>
    <t>Mirassol</t>
  </si>
  <si>
    <t>Mococa</t>
  </si>
  <si>
    <t>Mogi das Cruzes</t>
  </si>
  <si>
    <t>Mogi Guaçu</t>
  </si>
  <si>
    <t>Mogi Mirim</t>
  </si>
  <si>
    <t>Mongaguá</t>
  </si>
  <si>
    <t>Monte Alto</t>
  </si>
  <si>
    <t>Monte Aprazível</t>
  </si>
  <si>
    <t>Monte Azul Paulista</t>
  </si>
  <si>
    <t>Monte Mor</t>
  </si>
  <si>
    <t>Morro Agudo</t>
  </si>
  <si>
    <t>Nazaré Paulista</t>
  </si>
  <si>
    <t>Neves Paulista</t>
  </si>
  <si>
    <t>Nhandeara</t>
  </si>
  <si>
    <t>Nova Granada</t>
  </si>
  <si>
    <t>Nova Odessa</t>
  </si>
  <si>
    <t>Novo Horizonte</t>
  </si>
  <si>
    <t>Nuporanga</t>
  </si>
  <si>
    <t>Olímpia</t>
  </si>
  <si>
    <t>Orlândia</t>
  </si>
  <si>
    <t>Osasco</t>
  </si>
  <si>
    <t>Osvaldo Cruz</t>
  </si>
  <si>
    <t>Ourinhos</t>
  </si>
  <si>
    <t>Ouroeste</t>
  </si>
  <si>
    <t>Pacaembu</t>
  </si>
  <si>
    <t>Palestina</t>
  </si>
  <si>
    <t>Palmeira D'Oeste</t>
  </si>
  <si>
    <t>Palmital</t>
  </si>
  <si>
    <t>Panorama</t>
  </si>
  <si>
    <t>Paraguaçu Paulista</t>
  </si>
  <si>
    <t>Paraibuna</t>
  </si>
  <si>
    <t>Paranapanema</t>
  </si>
  <si>
    <t>Pariquera-Açu</t>
  </si>
  <si>
    <t>Patrocínio Paulista</t>
  </si>
  <si>
    <t>Paulínia</t>
  </si>
  <si>
    <t>Paulo de Faria</t>
  </si>
  <si>
    <t>Pederneiras</t>
  </si>
  <si>
    <t>Pedregulho</t>
  </si>
  <si>
    <t>Pedreira</t>
  </si>
  <si>
    <t>Penápolis</t>
  </si>
  <si>
    <t>Lei nº 1.202/2003</t>
  </si>
  <si>
    <t>Pereira Barreto</t>
  </si>
  <si>
    <t>Peruíbe</t>
  </si>
  <si>
    <t>Piedade</t>
  </si>
  <si>
    <t>Pilar do Sul</t>
  </si>
  <si>
    <t>Pindamonhangaba</t>
  </si>
  <si>
    <t>Pinhalzinho</t>
  </si>
  <si>
    <t>Piquete</t>
  </si>
  <si>
    <t>Piracaia</t>
  </si>
  <si>
    <t>Piracicaba</t>
  </si>
  <si>
    <t>Piraju</t>
  </si>
  <si>
    <t>Pirajuí</t>
  </si>
  <si>
    <t>Pirangi</t>
  </si>
  <si>
    <t>Pirapozinho</t>
  </si>
  <si>
    <t>Pirassununga</t>
  </si>
  <si>
    <t>Piratininga</t>
  </si>
  <si>
    <t>Pitangueiras</t>
  </si>
  <si>
    <t>Poá</t>
  </si>
  <si>
    <t>Pompéia</t>
  </si>
  <si>
    <t>Pontal</t>
  </si>
  <si>
    <t>Porangaba</t>
  </si>
  <si>
    <t>Porto Feliz</t>
  </si>
  <si>
    <t>Porto Ferreira</t>
  </si>
  <si>
    <t>Potirendaba</t>
  </si>
  <si>
    <t>Lei Complementar nº 002/2009</t>
  </si>
  <si>
    <t>Praia Grande</t>
  </si>
  <si>
    <t>Presidente Bernardes</t>
  </si>
  <si>
    <t>Presidente Epitácio</t>
  </si>
  <si>
    <t>Presidente Prudente</t>
  </si>
  <si>
    <t>Presidente Venceslau</t>
  </si>
  <si>
    <t>Promissão</t>
  </si>
  <si>
    <t>Quatá</t>
  </si>
  <si>
    <t>Queluz</t>
  </si>
  <si>
    <t>Rancharia</t>
  </si>
  <si>
    <t>Regente Feijó</t>
  </si>
  <si>
    <t>Registro</t>
  </si>
  <si>
    <t>Ribeirão Bonito</t>
  </si>
  <si>
    <t>Ribeirão Pires</t>
  </si>
  <si>
    <t>Ribeirão Preto</t>
  </si>
  <si>
    <t>Rio Claro</t>
  </si>
  <si>
    <t>Rio das Pedras</t>
  </si>
  <si>
    <t>Rio Grande da Serra</t>
  </si>
  <si>
    <t>Rosana</t>
  </si>
  <si>
    <t>Roseira</t>
  </si>
  <si>
    <t>Salesópolis</t>
  </si>
  <si>
    <t>Salto</t>
  </si>
  <si>
    <t>Salto de Pirapora</t>
  </si>
  <si>
    <t>Santa Adélia</t>
  </si>
  <si>
    <t>Santa Bárbara D'Oeste</t>
  </si>
  <si>
    <t>Santa Branca</t>
  </si>
  <si>
    <t>Santa Cruz das Palmeiras</t>
  </si>
  <si>
    <t>Santa Cruz do Rio Pardo</t>
  </si>
  <si>
    <t>Santa Fé do Sul</t>
  </si>
  <si>
    <t>Santa Isabel</t>
  </si>
  <si>
    <t>Santa Rita do Passa Quatro</t>
  </si>
  <si>
    <t>Santa Rosa do Viterbo</t>
  </si>
  <si>
    <t>Santana de Parnaíba</t>
  </si>
  <si>
    <t>Santo Anastácio</t>
  </si>
  <si>
    <t>Santo André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</si>
  <si>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</si>
  <si>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</si>
  <si>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</si>
  <si>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</si>
  <si>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</si>
  <si>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</si>
  <si>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Joaquim da Barra</t>
  </si>
  <si>
    <t>São José do Rio Pardo</t>
  </si>
  <si>
    <t>São José do Rio Preto</t>
  </si>
  <si>
    <t>São José dos Campos</t>
  </si>
  <si>
    <t>São Luiz do Paraitinga</t>
  </si>
  <si>
    <t>São Manuel</t>
  </si>
  <si>
    <t>São Miguel Arcanjo</t>
  </si>
  <si>
    <t>São Paulo</t>
  </si>
  <si>
    <t>São Pedro</t>
  </si>
  <si>
    <t>São Roque</t>
  </si>
  <si>
    <t>São Sebastião</t>
  </si>
  <si>
    <t>São Sebastião da Grama</t>
  </si>
  <si>
    <t>São Simão</t>
  </si>
  <si>
    <t>São Vicente</t>
  </si>
  <si>
    <t>Serra Negra</t>
  </si>
  <si>
    <t>Serrana</t>
  </si>
  <si>
    <t>Sertãozinho</t>
  </si>
  <si>
    <t>Socorro</t>
  </si>
  <si>
    <t>Sorocaba</t>
  </si>
  <si>
    <t>Sumaré</t>
  </si>
  <si>
    <t>Suzano</t>
  </si>
  <si>
    <t>Tabapuã</t>
  </si>
  <si>
    <t>Taboão da Serra</t>
  </si>
  <si>
    <t>Tambaú</t>
  </si>
  <si>
    <t>Tanabi</t>
  </si>
  <si>
    <t>Taquaritinga</t>
  </si>
  <si>
    <t>Taquarituba</t>
  </si>
  <si>
    <t>Tatuí</t>
  </si>
  <si>
    <t>Taubaté</t>
  </si>
  <si>
    <t>Teodoro Sampaio</t>
  </si>
  <si>
    <t>Tietê</t>
  </si>
  <si>
    <t>Tremembé</t>
  </si>
  <si>
    <t>Tupã</t>
  </si>
  <si>
    <t>Tupi Paulista</t>
  </si>
  <si>
    <t>Ubatuba</t>
  </si>
  <si>
    <t>Urânia</t>
  </si>
  <si>
    <t>Urupês</t>
  </si>
  <si>
    <t>Valinhos</t>
  </si>
  <si>
    <t>Valparaíso</t>
  </si>
  <si>
    <t>Vargem Grande do Sul</t>
  </si>
  <si>
    <t>Vargem Grande Paulista</t>
  </si>
  <si>
    <t>Várzea Paulista</t>
  </si>
  <si>
    <t>Vila Mimosa</t>
  </si>
  <si>
    <t>Vinhedo</t>
  </si>
  <si>
    <t>Viradouro</t>
  </si>
  <si>
    <t>Votorantim</t>
  </si>
  <si>
    <t>Votuporanga</t>
  </si>
  <si>
    <t>http://200.144.30.103/ISSQN/Asppages/pesq_municipio_convenio_aliquota_L.asp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</si>
</sst>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0\-0000"/>
    <numFmt numFmtId="167" formatCode="_-* #,##0_-;\-* #,##0_-;_-* &quot;-&quot;??_-;_-@_-"/>
    <numFmt numFmtId="168" formatCode="0_ ;\-0\ "/>
    <numFmt numFmtId="169" formatCode="0.000%"/>
    <numFmt numFmtId="170" formatCode="_-* #,##0.0000_-;\-* #,##0.0000_-;_-* &quot;-&quot;??_-;_-@_-"/>
    <numFmt numFmtId="171" formatCode="_-* #,##0.0000_-;\-* #,##0.0000_-;_-* &quot;-&quot;????_-;_-@_-"/>
    <numFmt numFmtId="172" formatCode="0.0000%"/>
    <numFmt numFmtId="173" formatCode="0.0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indexed="81"/>
      <name val="Segoe UI"/>
      <family val="2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theme="0"/>
      </right>
      <top style="thin">
        <color rgb="FF8DB4E2"/>
      </top>
      <bottom style="thin">
        <color rgb="FF8DB4E2"/>
      </bottom>
      <diagonal/>
    </border>
    <border>
      <left style="thin">
        <color theme="0"/>
      </left>
      <right style="thin">
        <color theme="0"/>
      </right>
      <top style="thin">
        <color rgb="FF8DB4E2"/>
      </top>
      <bottom style="thin">
        <color rgb="FF8DB4E2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0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0"/>
      </right>
      <top/>
      <bottom style="thin">
        <color theme="3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1" xfId="0" applyBorder="1"/>
    <xf numFmtId="0" fontId="0" fillId="0" borderId="3" xfId="0" applyBorder="1"/>
    <xf numFmtId="10" fontId="5" fillId="0" borderId="4" xfId="2" applyNumberFormat="1" applyFont="1" applyBorder="1" applyAlignment="1" applyProtection="1">
      <alignment vertical="center"/>
    </xf>
    <xf numFmtId="0" fontId="5" fillId="0" borderId="4" xfId="0" applyFont="1" applyBorder="1" applyAlignment="1">
      <alignment horizontal="center" vertical="center" wrapText="1"/>
    </xf>
    <xf numFmtId="166" fontId="6" fillId="9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1" xfId="0" applyFont="1" applyBorder="1"/>
    <xf numFmtId="0" fontId="9" fillId="0" borderId="7" xfId="0" applyFont="1" applyBorder="1" applyAlignment="1">
      <alignment horizontal="left" vertical="center" wrapText="1"/>
    </xf>
    <xf numFmtId="0" fontId="7" fillId="0" borderId="1" xfId="0" applyFont="1" applyBorder="1"/>
    <xf numFmtId="0" fontId="9" fillId="2" borderId="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 applyProtection="1">
      <alignment horizontal="left" vertical="center" wrapText="1"/>
      <protection locked="0"/>
    </xf>
    <xf numFmtId="0" fontId="9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  <protection locked="0"/>
    </xf>
    <xf numFmtId="14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0" fontId="5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3" fontId="8" fillId="0" borderId="4" xfId="1" applyFont="1" applyFill="1" applyBorder="1" applyAlignment="1" applyProtection="1">
      <alignment vertical="center"/>
    </xf>
    <xf numFmtId="43" fontId="6" fillId="0" borderId="4" xfId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1" applyNumberFormat="1" applyFont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1" applyNumberFormat="1" applyFont="1" applyAlignment="1" applyProtection="1">
      <alignment vertical="center"/>
    </xf>
    <xf numFmtId="43" fontId="5" fillId="0" borderId="0" xfId="1" applyFont="1" applyAlignment="1" applyProtection="1">
      <alignment vertical="center"/>
    </xf>
    <xf numFmtId="43" fontId="5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3" fontId="5" fillId="0" borderId="3" xfId="0" applyNumberFormat="1" applyFont="1" applyBorder="1" applyAlignment="1">
      <alignment vertical="center" wrapText="1"/>
    </xf>
    <xf numFmtId="0" fontId="0" fillId="0" borderId="2" xfId="0" applyBorder="1"/>
    <xf numFmtId="43" fontId="5" fillId="0" borderId="4" xfId="0" applyNumberFormat="1" applyFont="1" applyBorder="1" applyAlignment="1">
      <alignment vertical="center" wrapText="1"/>
    </xf>
    <xf numFmtId="43" fontId="4" fillId="4" borderId="4" xfId="0" applyNumberFormat="1" applyFont="1" applyFill="1" applyBorder="1"/>
    <xf numFmtId="0" fontId="4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vertical="center" wrapText="1"/>
    </xf>
    <xf numFmtId="169" fontId="5" fillId="0" borderId="0" xfId="1" applyNumberFormat="1" applyFont="1" applyAlignment="1" applyProtection="1">
      <alignment vertical="center"/>
    </xf>
    <xf numFmtId="43" fontId="4" fillId="0" borderId="9" xfId="1" applyFont="1" applyBorder="1" applyAlignment="1" applyProtection="1">
      <alignment vertical="center"/>
    </xf>
    <xf numFmtId="10" fontId="5" fillId="0" borderId="4" xfId="2" applyNumberFormat="1" applyFont="1" applyBorder="1" applyAlignment="1" applyProtection="1">
      <alignment horizontal="right" vertical="center" wrapText="1"/>
    </xf>
    <xf numFmtId="10" fontId="8" fillId="0" borderId="4" xfId="2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43" fontId="5" fillId="0" borderId="2" xfId="0" applyNumberFormat="1" applyFont="1" applyBorder="1" applyAlignment="1">
      <alignment vertical="center" wrapText="1"/>
    </xf>
    <xf numFmtId="43" fontId="4" fillId="0" borderId="3" xfId="0" applyNumberFormat="1" applyFont="1" applyBorder="1" applyAlignment="1">
      <alignment vertical="center" wrapText="1"/>
    </xf>
    <xf numFmtId="10" fontId="8" fillId="0" borderId="4" xfId="2" applyNumberFormat="1" applyFont="1" applyFill="1" applyBorder="1" applyAlignment="1" applyProtection="1">
      <alignment vertical="center" wrapText="1"/>
    </xf>
    <xf numFmtId="0" fontId="5" fillId="0" borderId="10" xfId="0" applyFont="1" applyBorder="1" applyAlignment="1">
      <alignment vertical="center" wrapText="1"/>
    </xf>
    <xf numFmtId="43" fontId="8" fillId="0" borderId="4" xfId="1" applyFont="1" applyFill="1" applyBorder="1" applyAlignment="1" applyProtection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166" fontId="6" fillId="9" borderId="4" xfId="0" applyNumberFormat="1" applyFont="1" applyFill="1" applyBorder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2" borderId="10" xfId="0" applyFont="1" applyFill="1" applyBorder="1"/>
    <xf numFmtId="43" fontId="5" fillId="0" borderId="3" xfId="0" applyNumberFormat="1" applyFont="1" applyBorder="1"/>
    <xf numFmtId="0" fontId="8" fillId="0" borderId="1" xfId="0" applyFont="1" applyBorder="1"/>
    <xf numFmtId="0" fontId="5" fillId="0" borderId="8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0" fontId="4" fillId="4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0" fontId="8" fillId="0" borderId="1" xfId="2" applyNumberFormat="1" applyFont="1" applyBorder="1" applyProtection="1"/>
    <xf numFmtId="10" fontId="8" fillId="0" borderId="1" xfId="0" applyNumberFormat="1" applyFont="1" applyBorder="1"/>
    <xf numFmtId="10" fontId="5" fillId="0" borderId="3" xfId="0" applyNumberFormat="1" applyFont="1" applyBorder="1"/>
    <xf numFmtId="9" fontId="8" fillId="0" borderId="1" xfId="0" applyNumberFormat="1" applyFont="1" applyBorder="1"/>
    <xf numFmtId="10" fontId="5" fillId="0" borderId="4" xfId="0" applyNumberFormat="1" applyFont="1" applyBorder="1" applyAlignment="1">
      <alignment vertical="center"/>
    </xf>
    <xf numFmtId="10" fontId="4" fillId="3" borderId="4" xfId="0" applyNumberFormat="1" applyFont="1" applyFill="1" applyBorder="1" applyAlignment="1">
      <alignment vertical="center"/>
    </xf>
    <xf numFmtId="0" fontId="8" fillId="0" borderId="3" xfId="0" applyFont="1" applyBorder="1"/>
    <xf numFmtId="10" fontId="5" fillId="0" borderId="4" xfId="2" applyNumberFormat="1" applyFont="1" applyBorder="1" applyAlignment="1" applyProtection="1">
      <alignment horizontal="center" vertical="center"/>
    </xf>
    <xf numFmtId="43" fontId="5" fillId="0" borderId="4" xfId="1" applyFont="1" applyBorder="1" applyAlignment="1" applyProtection="1">
      <alignment vertical="center"/>
    </xf>
    <xf numFmtId="172" fontId="5" fillId="0" borderId="4" xfId="2" applyNumberFormat="1" applyFont="1" applyBorder="1" applyAlignment="1" applyProtection="1">
      <alignment vertical="center"/>
    </xf>
    <xf numFmtId="43" fontId="8" fillId="0" borderId="3" xfId="0" applyNumberFormat="1" applyFont="1" applyBorder="1"/>
    <xf numFmtId="171" fontId="8" fillId="0" borderId="1" xfId="0" applyNumberFormat="1" applyFont="1" applyBorder="1"/>
    <xf numFmtId="166" fontId="8" fillId="0" borderId="4" xfId="0" applyNumberFormat="1" applyFont="1" applyBorder="1" applyAlignment="1">
      <alignment horizontal="center" vertical="center"/>
    </xf>
    <xf numFmtId="0" fontId="5" fillId="0" borderId="1" xfId="0" applyFont="1" applyBorder="1" applyProtection="1">
      <protection locked="0"/>
    </xf>
    <xf numFmtId="0" fontId="5" fillId="0" borderId="0" xfId="0" applyFont="1"/>
    <xf numFmtId="167" fontId="5" fillId="0" borderId="4" xfId="1" applyNumberFormat="1" applyFont="1" applyBorder="1" applyAlignment="1" applyProtection="1">
      <alignment vertical="center" wrapText="1"/>
    </xf>
    <xf numFmtId="43" fontId="8" fillId="0" borderId="4" xfId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/>
    </xf>
    <xf numFmtId="172" fontId="5" fillId="0" borderId="4" xfId="0" applyNumberFormat="1" applyFont="1" applyBorder="1" applyAlignment="1">
      <alignment horizontal="center" vertical="center" wrapText="1"/>
    </xf>
    <xf numFmtId="43" fontId="6" fillId="0" borderId="4" xfId="1" applyFont="1" applyFill="1" applyBorder="1" applyAlignment="1" applyProtection="1">
      <alignment vertical="center" wrapText="1"/>
    </xf>
    <xf numFmtId="43" fontId="5" fillId="0" borderId="4" xfId="1" applyFont="1" applyBorder="1" applyAlignment="1" applyProtection="1">
      <alignment horizontal="left" vertical="center" wrapText="1"/>
    </xf>
    <xf numFmtId="43" fontId="6" fillId="4" borderId="4" xfId="1" applyFont="1" applyFill="1" applyBorder="1" applyAlignment="1" applyProtection="1">
      <alignment vertical="center"/>
    </xf>
    <xf numFmtId="43" fontId="5" fillId="0" borderId="1" xfId="1" applyFont="1" applyBorder="1" applyAlignment="1" applyProtection="1">
      <alignment vertical="center" wrapText="1"/>
    </xf>
    <xf numFmtId="0" fontId="5" fillId="0" borderId="12" xfId="0" applyFont="1" applyBorder="1"/>
    <xf numFmtId="0" fontId="5" fillId="0" borderId="2" xfId="0" applyFont="1" applyBorder="1" applyProtection="1">
      <protection locked="0"/>
    </xf>
    <xf numFmtId="0" fontId="11" fillId="0" borderId="1" xfId="0" applyFont="1" applyBorder="1"/>
    <xf numFmtId="43" fontId="11" fillId="0" borderId="1" xfId="0" applyNumberFormat="1" applyFont="1" applyBorder="1"/>
    <xf numFmtId="0" fontId="12" fillId="0" borderId="0" xfId="0" applyFont="1"/>
    <xf numFmtId="43" fontId="5" fillId="0" borderId="1" xfId="0" applyNumberFormat="1" applyFont="1" applyBorder="1"/>
    <xf numFmtId="43" fontId="4" fillId="0" borderId="4" xfId="1" applyFont="1" applyBorder="1" applyAlignment="1" applyProtection="1">
      <alignment vertical="center"/>
    </xf>
    <xf numFmtId="0" fontId="12" fillId="0" borderId="1" xfId="0" applyFont="1" applyBorder="1"/>
    <xf numFmtId="0" fontId="12" fillId="0" borderId="12" xfId="0" applyFont="1" applyBorder="1"/>
    <xf numFmtId="0" fontId="12" fillId="0" borderId="2" xfId="0" applyFont="1" applyBorder="1"/>
    <xf numFmtId="43" fontId="12" fillId="0" borderId="1" xfId="0" applyNumberFormat="1" applyFont="1" applyBorder="1"/>
    <xf numFmtId="0" fontId="12" fillId="0" borderId="15" xfId="0" applyFont="1" applyBorder="1"/>
    <xf numFmtId="0" fontId="12" fillId="0" borderId="16" xfId="0" applyFont="1" applyBorder="1"/>
    <xf numFmtId="43" fontId="12" fillId="0" borderId="16" xfId="0" applyNumberFormat="1" applyFont="1" applyBorder="1"/>
    <xf numFmtId="0" fontId="12" fillId="0" borderId="17" xfId="0" applyFont="1" applyBorder="1"/>
    <xf numFmtId="0" fontId="13" fillId="0" borderId="1" xfId="0" applyFont="1" applyBorder="1"/>
    <xf numFmtId="0" fontId="13" fillId="0" borderId="0" xfId="0" applyFont="1"/>
    <xf numFmtId="43" fontId="0" fillId="0" borderId="2" xfId="0" applyNumberFormat="1" applyBorder="1"/>
    <xf numFmtId="10" fontId="5" fillId="0" borderId="1" xfId="2" applyNumberFormat="1" applyFont="1" applyBorder="1" applyAlignment="1" applyProtection="1">
      <alignment vertical="center" wrapText="1"/>
    </xf>
    <xf numFmtId="43" fontId="8" fillId="0" borderId="3" xfId="1" applyFont="1" applyBorder="1" applyProtection="1"/>
    <xf numFmtId="168" fontId="5" fillId="11" borderId="4" xfId="1" applyNumberFormat="1" applyFont="1" applyFill="1" applyBorder="1" applyAlignment="1" applyProtection="1">
      <alignment horizontal="left" vertical="center"/>
    </xf>
    <xf numFmtId="43" fontId="5" fillId="11" borderId="4" xfId="1" applyFont="1" applyFill="1" applyBorder="1" applyAlignment="1" applyProtection="1">
      <alignment vertical="center"/>
      <protection locked="0"/>
    </xf>
    <xf numFmtId="10" fontId="5" fillId="11" borderId="4" xfId="2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/>
    <xf numFmtId="0" fontId="8" fillId="0" borderId="2" xfId="0" applyFont="1" applyBorder="1"/>
    <xf numFmtId="0" fontId="0" fillId="0" borderId="0" xfId="0" applyAlignment="1">
      <alignment vertical="center" wrapText="1"/>
    </xf>
    <xf numFmtId="0" fontId="8" fillId="0" borderId="0" xfId="0" applyFont="1"/>
    <xf numFmtId="0" fontId="5" fillId="0" borderId="0" xfId="0" applyFont="1" applyProtection="1">
      <protection locked="0"/>
    </xf>
    <xf numFmtId="43" fontId="12" fillId="0" borderId="1" xfId="1" applyFont="1" applyBorder="1"/>
    <xf numFmtId="43" fontId="5" fillId="0" borderId="4" xfId="1" applyFont="1" applyFill="1" applyBorder="1" applyAlignment="1" applyProtection="1">
      <alignment horizontal="center" vertical="center" wrapText="1"/>
    </xf>
    <xf numFmtId="167" fontId="5" fillId="11" borderId="4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0" fontId="0" fillId="0" borderId="0" xfId="2" applyNumberFormat="1" applyFont="1"/>
    <xf numFmtId="0" fontId="12" fillId="0" borderId="0" xfId="1" applyNumberFormat="1" applyFont="1" applyAlignment="1" applyProtection="1">
      <alignment vertical="center"/>
    </xf>
    <xf numFmtId="169" fontId="12" fillId="0" borderId="0" xfId="1" applyNumberFormat="1" applyFont="1" applyAlignment="1" applyProtection="1">
      <alignment vertical="center"/>
    </xf>
    <xf numFmtId="43" fontId="12" fillId="0" borderId="0" xfId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5" xfId="1" applyNumberFormat="1" applyFont="1" applyFill="1" applyBorder="1" applyAlignment="1" applyProtection="1">
      <alignment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1" applyNumberFormat="1" applyFont="1" applyFill="1" applyBorder="1" applyAlignment="1" applyProtection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0" borderId="4" xfId="1" applyNumberFormat="1" applyFont="1" applyBorder="1" applyAlignment="1" applyProtection="1">
      <alignment vertical="center" wrapText="1"/>
    </xf>
    <xf numFmtId="167" fontId="16" fillId="4" borderId="4" xfId="1" applyNumberFormat="1" applyFont="1" applyFill="1" applyBorder="1" applyAlignment="1" applyProtection="1">
      <alignment horizontal="right" vertical="center"/>
      <protection locked="0"/>
    </xf>
    <xf numFmtId="43" fontId="12" fillId="0" borderId="4" xfId="1" applyFont="1" applyBorder="1" applyAlignment="1" applyProtection="1">
      <alignment horizontal="left" vertical="center" wrapText="1"/>
    </xf>
    <xf numFmtId="10" fontId="17" fillId="0" borderId="4" xfId="2" applyNumberFormat="1" applyFont="1" applyFill="1" applyBorder="1" applyAlignment="1" applyProtection="1">
      <alignment vertical="center" wrapText="1"/>
    </xf>
    <xf numFmtId="43" fontId="16" fillId="4" borderId="4" xfId="1" applyFont="1" applyFill="1" applyBorder="1" applyAlignment="1" applyProtection="1">
      <alignment vertical="center"/>
    </xf>
    <xf numFmtId="43" fontId="16" fillId="0" borderId="4" xfId="1" applyFont="1" applyFill="1" applyBorder="1" applyAlignment="1" applyProtection="1">
      <alignment vertical="center"/>
    </xf>
    <xf numFmtId="43" fontId="12" fillId="0" borderId="1" xfId="0" applyNumberFormat="1" applyFont="1" applyBorder="1" applyAlignment="1">
      <alignment vertical="center" wrapText="1"/>
    </xf>
    <xf numFmtId="10" fontId="12" fillId="0" borderId="1" xfId="2" applyNumberFormat="1" applyFont="1" applyBorder="1" applyAlignment="1" applyProtection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vertical="center" wrapText="1"/>
    </xf>
    <xf numFmtId="169" fontId="12" fillId="0" borderId="1" xfId="0" applyNumberFormat="1" applyFont="1" applyBorder="1" applyAlignment="1">
      <alignment vertical="center" wrapText="1"/>
    </xf>
    <xf numFmtId="0" fontId="10" fillId="8" borderId="7" xfId="0" applyFont="1" applyFill="1" applyBorder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 applyProtection="1">
      <alignment horizontal="justify" vertical="center" wrapText="1"/>
      <protection locked="0"/>
    </xf>
    <xf numFmtId="0" fontId="9" fillId="7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43" fontId="5" fillId="0" borderId="11" xfId="0" applyNumberFormat="1" applyFont="1" applyBorder="1" applyAlignment="1">
      <alignment horizontal="center" vertical="center" wrapText="1"/>
    </xf>
    <xf numFmtId="0" fontId="6" fillId="3" borderId="4" xfId="1" applyNumberFormat="1" applyFont="1" applyFill="1" applyBorder="1" applyAlignment="1" applyProtection="1">
      <alignment horizontal="center" vertical="center" wrapText="1"/>
    </xf>
    <xf numFmtId="10" fontId="0" fillId="13" borderId="0" xfId="2" applyNumberFormat="1" applyFont="1" applyFill="1"/>
    <xf numFmtId="9" fontId="0" fillId="0" borderId="0" xfId="2" applyFont="1"/>
    <xf numFmtId="10" fontId="0" fillId="2" borderId="0" xfId="2" applyNumberFormat="1" applyFont="1" applyFill="1"/>
    <xf numFmtId="0" fontId="18" fillId="0" borderId="0" xfId="8"/>
    <xf numFmtId="10" fontId="5" fillId="0" borderId="1" xfId="2" applyNumberFormat="1" applyFont="1" applyFill="1" applyBorder="1" applyAlignment="1" applyProtection="1">
      <alignment vertical="center" wrapText="1"/>
    </xf>
    <xf numFmtId="43" fontId="5" fillId="0" borderId="1" xfId="1" applyFont="1" applyFill="1" applyBorder="1" applyAlignment="1" applyProtection="1">
      <alignment vertical="center" wrapText="1"/>
    </xf>
    <xf numFmtId="167" fontId="6" fillId="3" borderId="4" xfId="1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7" borderId="13" xfId="0" applyFont="1" applyFill="1" applyBorder="1" applyAlignment="1">
      <alignment vertical="center"/>
    </xf>
    <xf numFmtId="0" fontId="19" fillId="7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20" fillId="8" borderId="13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9" fillId="12" borderId="13" xfId="0" applyFont="1" applyFill="1" applyBorder="1" applyAlignment="1">
      <alignment vertical="center"/>
    </xf>
    <xf numFmtId="0" fontId="19" fillId="12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43" fontId="20" fillId="0" borderId="13" xfId="1" applyFont="1" applyBorder="1" applyAlignment="1">
      <alignment horizontal="right" vertical="center"/>
    </xf>
    <xf numFmtId="43" fontId="20" fillId="0" borderId="13" xfId="1" applyFont="1" applyBorder="1" applyAlignment="1">
      <alignment vertical="center"/>
    </xf>
    <xf numFmtId="0" fontId="19" fillId="7" borderId="13" xfId="0" applyFont="1" applyFill="1" applyBorder="1" applyAlignment="1">
      <alignment horizontal="right" vertical="center"/>
    </xf>
    <xf numFmtId="4" fontId="19" fillId="7" borderId="13" xfId="0" applyNumberFormat="1" applyFont="1" applyFill="1" applyBorder="1" applyAlignment="1">
      <alignment horizontal="right" vertical="center"/>
    </xf>
    <xf numFmtId="10" fontId="20" fillId="0" borderId="13" xfId="0" applyNumberFormat="1" applyFont="1" applyBorder="1" applyAlignment="1">
      <alignment horizontal="right" vertical="center"/>
    </xf>
    <xf numFmtId="0" fontId="19" fillId="7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43" fontId="19" fillId="7" borderId="13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vertical="center" wrapText="1"/>
    </xf>
    <xf numFmtId="43" fontId="19" fillId="7" borderId="13" xfId="1" applyFont="1" applyFill="1" applyBorder="1" applyAlignment="1">
      <alignment vertical="center"/>
    </xf>
    <xf numFmtId="43" fontId="19" fillId="7" borderId="13" xfId="1" applyFont="1" applyFill="1" applyBorder="1" applyAlignment="1">
      <alignment horizontal="right" vertical="center"/>
    </xf>
    <xf numFmtId="10" fontId="19" fillId="7" borderId="13" xfId="2" applyNumberFormat="1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43" fontId="19" fillId="3" borderId="14" xfId="1" applyFont="1" applyFill="1" applyBorder="1" applyAlignment="1">
      <alignment horizontal="right" vertical="center"/>
    </xf>
    <xf numFmtId="43" fontId="19" fillId="3" borderId="13" xfId="1" applyFont="1" applyFill="1" applyBorder="1" applyAlignment="1">
      <alignment horizontal="right" vertical="center"/>
    </xf>
    <xf numFmtId="0" fontId="12" fillId="0" borderId="19" xfId="0" applyFont="1" applyBorder="1"/>
    <xf numFmtId="0" fontId="12" fillId="0" borderId="20" xfId="0" applyFont="1" applyBorder="1"/>
    <xf numFmtId="0" fontId="14" fillId="0" borderId="0" xfId="0" applyFont="1"/>
    <xf numFmtId="43" fontId="12" fillId="0" borderId="18" xfId="0" applyNumberFormat="1" applyFont="1" applyBorder="1"/>
    <xf numFmtId="0" fontId="12" fillId="0" borderId="18" xfId="0" applyFont="1" applyBorder="1"/>
    <xf numFmtId="0" fontId="19" fillId="7" borderId="21" xfId="0" applyFont="1" applyFill="1" applyBorder="1" applyAlignment="1">
      <alignment vertical="center"/>
    </xf>
    <xf numFmtId="0" fontId="15" fillId="4" borderId="21" xfId="0" applyFont="1" applyFill="1" applyBorder="1" applyAlignment="1" applyProtection="1">
      <alignment vertical="center" wrapText="1"/>
      <protection locked="0"/>
    </xf>
    <xf numFmtId="0" fontId="13" fillId="0" borderId="21" xfId="0" applyFont="1" applyBorder="1"/>
    <xf numFmtId="0" fontId="19" fillId="0" borderId="18" xfId="0" applyFont="1" applyBorder="1" applyAlignment="1">
      <alignment horizontal="left" vertical="center"/>
    </xf>
    <xf numFmtId="0" fontId="12" fillId="0" borderId="11" xfId="0" applyFont="1" applyBorder="1"/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horizontal="left" vertical="center"/>
    </xf>
    <xf numFmtId="43" fontId="6" fillId="3" borderId="4" xfId="1" applyFont="1" applyFill="1" applyBorder="1" applyAlignment="1" applyProtection="1">
      <alignment horizontal="center" vertical="center" wrapText="1"/>
    </xf>
    <xf numFmtId="43" fontId="5" fillId="0" borderId="11" xfId="1" applyFont="1" applyBorder="1" applyAlignment="1" applyProtection="1">
      <alignment horizontal="center" vertical="center" wrapText="1"/>
    </xf>
    <xf numFmtId="0" fontId="12" fillId="0" borderId="18" xfId="0" applyFont="1" applyBorder="1" applyAlignment="1">
      <alignment horizontal="center"/>
    </xf>
    <xf numFmtId="43" fontId="8" fillId="0" borderId="1" xfId="0" applyNumberFormat="1" applyFont="1" applyBorder="1"/>
    <xf numFmtId="0" fontId="5" fillId="0" borderId="8" xfId="0" applyFont="1" applyBorder="1" applyAlignment="1">
      <alignment horizontal="center" vertical="center"/>
    </xf>
    <xf numFmtId="172" fontId="5" fillId="0" borderId="5" xfId="2" applyNumberFormat="1" applyFont="1" applyBorder="1" applyAlignment="1" applyProtection="1">
      <alignment vertical="center"/>
    </xf>
    <xf numFmtId="0" fontId="5" fillId="0" borderId="23" xfId="0" applyFont="1" applyBorder="1" applyAlignment="1">
      <alignment vertical="center"/>
    </xf>
    <xf numFmtId="0" fontId="5" fillId="11" borderId="4" xfId="1" applyNumberFormat="1" applyFont="1" applyFill="1" applyBorder="1" applyAlignment="1" applyProtection="1">
      <alignment vertical="center"/>
      <protection locked="0"/>
    </xf>
    <xf numFmtId="43" fontId="16" fillId="4" borderId="6" xfId="1" applyFont="1" applyFill="1" applyBorder="1" applyAlignment="1" applyProtection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43" fontId="5" fillId="11" borderId="29" xfId="1" applyFont="1" applyFill="1" applyBorder="1" applyAlignment="1" applyProtection="1">
      <alignment vertical="center"/>
      <protection locked="0"/>
    </xf>
    <xf numFmtId="0" fontId="23" fillId="3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43" fontId="4" fillId="3" borderId="29" xfId="1" applyFont="1" applyFill="1" applyBorder="1" applyAlignment="1">
      <alignment vertical="center" wrapText="1"/>
    </xf>
    <xf numFmtId="43" fontId="5" fillId="0" borderId="4" xfId="1" applyFont="1" applyBorder="1" applyAlignment="1">
      <alignment horizontal="center" vertical="center" wrapText="1"/>
    </xf>
    <xf numFmtId="43" fontId="4" fillId="3" borderId="29" xfId="1" applyFont="1" applyFill="1" applyBorder="1" applyAlignment="1">
      <alignment horizontal="center" vertical="center" wrapText="1"/>
    </xf>
    <xf numFmtId="167" fontId="4" fillId="3" borderId="29" xfId="1" applyNumberFormat="1" applyFont="1" applyFill="1" applyBorder="1" applyAlignment="1">
      <alignment horizontal="center" vertical="center" wrapText="1"/>
    </xf>
    <xf numFmtId="43" fontId="5" fillId="0" borderId="29" xfId="1" applyFont="1" applyFill="1" applyBorder="1" applyAlignment="1">
      <alignment horizontal="center" vertical="center" wrapText="1"/>
    </xf>
    <xf numFmtId="43" fontId="23" fillId="3" borderId="29" xfId="1" applyFont="1" applyFill="1" applyBorder="1" applyAlignment="1">
      <alignment horizontal="center" vertical="center" wrapText="1"/>
    </xf>
    <xf numFmtId="9" fontId="5" fillId="0" borderId="0" xfId="2" applyFont="1" applyAlignment="1">
      <alignment wrapText="1"/>
    </xf>
    <xf numFmtId="43" fontId="5" fillId="0" borderId="29" xfId="1" applyFont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5" fillId="0" borderId="4" xfId="1" applyFont="1" applyBorder="1" applyAlignment="1" applyProtection="1">
      <alignment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 wrapText="1"/>
    </xf>
    <xf numFmtId="173" fontId="11" fillId="0" borderId="1" xfId="0" applyNumberFormat="1" applyFont="1" applyBorder="1" applyAlignment="1">
      <alignment horizontal="center"/>
    </xf>
    <xf numFmtId="43" fontId="17" fillId="0" borderId="13" xfId="1" applyFont="1" applyBorder="1" applyAlignment="1">
      <alignment horizontal="right" vertical="center"/>
    </xf>
    <xf numFmtId="43" fontId="8" fillId="0" borderId="4" xfId="1" applyFont="1" applyBorder="1" applyAlignment="1" applyProtection="1">
      <alignment horizontal="left" vertical="center" wrapText="1"/>
    </xf>
    <xf numFmtId="0" fontId="17" fillId="0" borderId="1" xfId="0" applyFont="1" applyBorder="1"/>
    <xf numFmtId="43" fontId="5" fillId="0" borderId="4" xfId="1" applyFont="1" applyFill="1" applyBorder="1" applyAlignment="1" applyProtection="1">
      <alignment vertical="center"/>
      <protection locked="0"/>
    </xf>
    <xf numFmtId="43" fontId="7" fillId="0" borderId="11" xfId="1" applyFont="1" applyBorder="1" applyProtection="1"/>
    <xf numFmtId="43" fontId="8" fillId="0" borderId="11" xfId="1" applyFont="1" applyBorder="1" applyProtection="1"/>
    <xf numFmtId="43" fontId="5" fillId="0" borderId="12" xfId="0" applyNumberFormat="1" applyFont="1" applyBorder="1"/>
    <xf numFmtId="43" fontId="5" fillId="8" borderId="0" xfId="0" applyNumberFormat="1" applyFont="1" applyFill="1"/>
    <xf numFmtId="2" fontId="8" fillId="0" borderId="1" xfId="0" applyNumberFormat="1" applyFont="1" applyBorder="1"/>
    <xf numFmtId="170" fontId="8" fillId="0" borderId="1" xfId="1" applyNumberFormat="1" applyFont="1" applyBorder="1" applyProtection="1"/>
    <xf numFmtId="172" fontId="8" fillId="0" borderId="4" xfId="2" applyNumberFormat="1" applyFont="1" applyBorder="1" applyAlignment="1" applyProtection="1">
      <alignment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28" fillId="0" borderId="0" xfId="0" applyFont="1" applyAlignment="1">
      <alignment vertical="center"/>
    </xf>
    <xf numFmtId="0" fontId="0" fillId="0" borderId="43" xfId="0" applyBorder="1"/>
    <xf numFmtId="0" fontId="29" fillId="0" borderId="0" xfId="0" applyFont="1" applyAlignment="1">
      <alignment vertical="center"/>
    </xf>
    <xf numFmtId="0" fontId="19" fillId="0" borderId="0" xfId="0" applyFont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0" fillId="0" borderId="0" xfId="0" applyFont="1"/>
    <xf numFmtId="43" fontId="5" fillId="0" borderId="0" xfId="0" applyNumberFormat="1" applyFont="1" applyAlignment="1">
      <alignment wrapText="1"/>
    </xf>
    <xf numFmtId="0" fontId="18" fillId="0" borderId="0" xfId="9"/>
    <xf numFmtId="0" fontId="5" fillId="0" borderId="47" xfId="0" applyFont="1" applyBorder="1"/>
    <xf numFmtId="0" fontId="5" fillId="0" borderId="48" xfId="0" applyFont="1" applyBorder="1"/>
    <xf numFmtId="0" fontId="5" fillId="0" borderId="48" xfId="0" applyFont="1" applyBorder="1" applyProtection="1">
      <protection locked="0"/>
    </xf>
    <xf numFmtId="43" fontId="5" fillId="0" borderId="4" xfId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0" fillId="0" borderId="43" xfId="0" applyFont="1" applyBorder="1"/>
    <xf numFmtId="0" fontId="20" fillId="0" borderId="43" xfId="0" applyFont="1" applyBorder="1" applyAlignment="1">
      <alignment wrapText="1"/>
    </xf>
    <xf numFmtId="0" fontId="20" fillId="0" borderId="43" xfId="0" applyFont="1" applyBorder="1" applyAlignment="1">
      <alignment vertical="top" wrapText="1"/>
    </xf>
    <xf numFmtId="0" fontId="26" fillId="0" borderId="0" xfId="0" applyFont="1"/>
    <xf numFmtId="0" fontId="0" fillId="0" borderId="0" xfId="0" applyAlignment="1">
      <alignment wrapText="1"/>
    </xf>
    <xf numFmtId="0" fontId="26" fillId="0" borderId="43" xfId="0" applyFont="1" applyBorder="1"/>
    <xf numFmtId="0" fontId="27" fillId="0" borderId="0" xfId="0" applyFont="1"/>
    <xf numFmtId="0" fontId="26" fillId="0" borderId="0" xfId="0" applyFont="1" applyAlignment="1">
      <alignment horizontal="left"/>
    </xf>
    <xf numFmtId="0" fontId="30" fillId="0" borderId="43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43" xfId="0" applyBorder="1" applyAlignment="1">
      <alignment horizontal="left" wrapText="1"/>
    </xf>
    <xf numFmtId="0" fontId="0" fillId="0" borderId="43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10" fontId="8" fillId="0" borderId="4" xfId="2" applyNumberFormat="1" applyFont="1" applyBorder="1" applyAlignment="1" applyProtection="1">
      <alignment horizontal="right" vertical="center" wrapText="1"/>
    </xf>
    <xf numFmtId="0" fontId="10" fillId="8" borderId="7" xfId="0" applyFont="1" applyFill="1" applyBorder="1" applyAlignment="1" applyProtection="1">
      <alignment horizontal="left" vertical="center" wrapText="1"/>
      <protection locked="0"/>
    </xf>
    <xf numFmtId="0" fontId="10" fillId="8" borderId="9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 applyProtection="1">
      <alignment horizontal="left" vertical="center" wrapText="1"/>
      <protection locked="0"/>
    </xf>
    <xf numFmtId="0" fontId="10" fillId="8" borderId="4" xfId="0" applyFont="1" applyFill="1" applyBorder="1" applyAlignment="1" applyProtection="1">
      <alignment horizontal="justify" vertical="center" wrapText="1"/>
      <protection locked="0"/>
    </xf>
    <xf numFmtId="0" fontId="9" fillId="7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23" fillId="0" borderId="33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6" fontId="6" fillId="10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6" fontId="6" fillId="9" borderId="7" xfId="0" applyNumberFormat="1" applyFont="1" applyFill="1" applyBorder="1" applyAlignment="1">
      <alignment horizontal="center" vertical="center" wrapText="1"/>
    </xf>
    <xf numFmtId="166" fontId="6" fillId="9" borderId="8" xfId="0" applyNumberFormat="1" applyFont="1" applyFill="1" applyBorder="1" applyAlignment="1">
      <alignment horizontal="center" vertical="center" wrapText="1"/>
    </xf>
    <xf numFmtId="166" fontId="6" fillId="9" borderId="9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10" fontId="5" fillId="11" borderId="4" xfId="2" applyNumberFormat="1" applyFont="1" applyFill="1" applyBorder="1" applyAlignment="1" applyProtection="1">
      <alignment horizontal="left" vertical="center"/>
      <protection locked="0"/>
    </xf>
    <xf numFmtId="10" fontId="5" fillId="2" borderId="4" xfId="2" applyNumberFormat="1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11" borderId="7" xfId="1" applyNumberFormat="1" applyFont="1" applyFill="1" applyBorder="1" applyAlignment="1" applyProtection="1">
      <alignment horizontal="left" vertical="center"/>
      <protection locked="0"/>
    </xf>
    <xf numFmtId="0" fontId="5" fillId="11" borderId="8" xfId="1" applyNumberFormat="1" applyFont="1" applyFill="1" applyBorder="1" applyAlignment="1" applyProtection="1">
      <alignment horizontal="left" vertical="center"/>
      <protection locked="0"/>
    </xf>
    <xf numFmtId="0" fontId="5" fillId="11" borderId="9" xfId="1" applyNumberFormat="1" applyFont="1" applyFill="1" applyBorder="1" applyAlignment="1" applyProtection="1">
      <alignment horizontal="left" vertical="center"/>
      <protection locked="0"/>
    </xf>
    <xf numFmtId="0" fontId="5" fillId="11" borderId="7" xfId="0" applyFont="1" applyFill="1" applyBorder="1" applyAlignment="1" applyProtection="1">
      <alignment horizontal="center" vertical="center" wrapText="1"/>
      <protection locked="0"/>
    </xf>
    <xf numFmtId="0" fontId="5" fillId="11" borderId="8" xfId="0" applyFont="1" applyFill="1" applyBorder="1" applyAlignment="1" applyProtection="1">
      <alignment horizontal="center" vertical="center" wrapText="1"/>
      <protection locked="0"/>
    </xf>
    <xf numFmtId="0" fontId="5" fillId="11" borderId="9" xfId="0" applyFont="1" applyFill="1" applyBorder="1" applyAlignment="1" applyProtection="1">
      <alignment horizontal="center" vertical="center" wrapText="1"/>
      <protection locked="0"/>
    </xf>
    <xf numFmtId="10" fontId="5" fillId="15" borderId="7" xfId="2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3" fillId="3" borderId="29" xfId="0" applyFont="1" applyFill="1" applyBorder="1" applyAlignment="1">
      <alignment horizontal="right" vertical="center" wrapText="1"/>
    </xf>
    <xf numFmtId="0" fontId="25" fillId="14" borderId="29" xfId="0" applyFont="1" applyFill="1" applyBorder="1" applyAlignment="1">
      <alignment horizontal="left" vertical="center" wrapText="1"/>
    </xf>
    <xf numFmtId="0" fontId="25" fillId="14" borderId="29" xfId="0" applyFont="1" applyFill="1" applyBorder="1" applyAlignment="1">
      <alignment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right" vertical="center" wrapText="1"/>
    </xf>
    <xf numFmtId="0" fontId="23" fillId="3" borderId="31" xfId="0" applyFont="1" applyFill="1" applyBorder="1" applyAlignment="1">
      <alignment horizontal="right" vertical="center" wrapText="1"/>
    </xf>
    <xf numFmtId="0" fontId="23" fillId="3" borderId="32" xfId="0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right" vertical="center" wrapText="1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3" fillId="3" borderId="7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</cellXfs>
  <cellStyles count="10">
    <cellStyle name="Hiperlink" xfId="9" builtinId="8"/>
    <cellStyle name="Hyperlink" xfId="8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3" xfId="7" xr:uid="{00000000-0005-0000-0000-000004000000}"/>
    <cellStyle name="Porcentagem" xfId="2" builtinId="5"/>
    <cellStyle name="Porcentagem 2" xfId="5" xr:uid="{00000000-0005-0000-0000-000006000000}"/>
    <cellStyle name="Vírgula" xfId="1" builtinId="3"/>
    <cellStyle name="Vírgula 2" xfId="6" xr:uid="{00000000-0005-0000-0000-000008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14" formatCode="0.00%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4" tint="-0.2499465926084170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5F5F5F"/>
      <color rgb="FFFF6600"/>
      <color rgb="FFFFFFFF"/>
      <color rgb="FFFFFFCC"/>
      <color rgb="FFFFCCCC"/>
      <color rgb="FFEAEAEA"/>
      <color rgb="FF99CCFF"/>
      <color rgb="FFFFFF99"/>
      <color rgb="FFCC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&#250;vidas!A1"/><Relationship Id="rId3" Type="http://schemas.openxmlformats.org/officeDocument/2006/relationships/hyperlink" Target="#'Resumo por Localidade'!A1"/><Relationship Id="rId7" Type="http://schemas.openxmlformats.org/officeDocument/2006/relationships/image" Target="../media/image1.png"/><Relationship Id="rId2" Type="http://schemas.openxmlformats.org/officeDocument/2006/relationships/hyperlink" Target="#'Uniformes e EPIs'!A1"/><Relationship Id="rId1" Type="http://schemas.openxmlformats.org/officeDocument/2006/relationships/hyperlink" Target="#'Indicadores Financeiros'!A1"/><Relationship Id="rId6" Type="http://schemas.openxmlformats.org/officeDocument/2006/relationships/hyperlink" Target="#'Dados Cadastrais'!A1"/><Relationship Id="rId5" Type="http://schemas.openxmlformats.org/officeDocument/2006/relationships/hyperlink" Target="#'Relat&#243;rio Custo'!A1"/><Relationship Id="rId10" Type="http://schemas.openxmlformats.org/officeDocument/2006/relationships/image" Target="../media/image3.svg"/><Relationship Id="rId4" Type="http://schemas.openxmlformats.org/officeDocument/2006/relationships/hyperlink" Target="#'Cronograma F&#237;sico Financeiro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'Indicadores Financeiros'!A1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200026</xdr:colOff>
      <xdr:row>10</xdr:row>
      <xdr:rowOff>104775</xdr:rowOff>
    </xdr:from>
    <xdr:to>
      <xdr:col>3</xdr:col>
      <xdr:colOff>485776</xdr:colOff>
      <xdr:row>12</xdr:row>
      <xdr:rowOff>187158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7FD49A-0539-4668-A18D-8676375C5B0F}"/>
            </a:ext>
          </a:extLst>
        </xdr:cNvPr>
        <xdr:cNvSpPr/>
      </xdr:nvSpPr>
      <xdr:spPr>
        <a:xfrm>
          <a:off x="542926" y="2190750"/>
          <a:ext cx="1104900" cy="463383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/>
            <a:t>Indicadores financeiros</a:t>
          </a:r>
        </a:p>
      </xdr:txBody>
    </xdr:sp>
    <xdr:clientData/>
  </xdr:twoCellAnchor>
  <xdr:twoCellAnchor>
    <xdr:from>
      <xdr:col>4</xdr:col>
      <xdr:colOff>447676</xdr:colOff>
      <xdr:row>7</xdr:row>
      <xdr:rowOff>9525</xdr:rowOff>
    </xdr:from>
    <xdr:to>
      <xdr:col>6</xdr:col>
      <xdr:colOff>333376</xdr:colOff>
      <xdr:row>9</xdr:row>
      <xdr:rowOff>76200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829A4F-225B-4102-A62E-478E5041CE96}"/>
            </a:ext>
          </a:extLst>
        </xdr:cNvPr>
        <xdr:cNvSpPr/>
      </xdr:nvSpPr>
      <xdr:spPr>
        <a:xfrm>
          <a:off x="2219326" y="1524000"/>
          <a:ext cx="1104900" cy="44767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/>
            <a:t>Uniformes e EPIs</a:t>
          </a:r>
        </a:p>
      </xdr:txBody>
    </xdr:sp>
    <xdr:clientData/>
  </xdr:twoCellAnchor>
  <xdr:twoCellAnchor>
    <xdr:from>
      <xdr:col>7</xdr:col>
      <xdr:colOff>323851</xdr:colOff>
      <xdr:row>10</xdr:row>
      <xdr:rowOff>114300</xdr:rowOff>
    </xdr:from>
    <xdr:to>
      <xdr:col>9</xdr:col>
      <xdr:colOff>209551</xdr:colOff>
      <xdr:row>12</xdr:row>
      <xdr:rowOff>180975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DFFABD-25D8-4AEE-9EF7-8E63D64D7D91}"/>
            </a:ext>
          </a:extLst>
        </xdr:cNvPr>
        <xdr:cNvSpPr/>
      </xdr:nvSpPr>
      <xdr:spPr>
        <a:xfrm>
          <a:off x="3924301" y="2200275"/>
          <a:ext cx="1104900" cy="44767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/>
            <a:t>Resumo por localidade</a:t>
          </a:r>
        </a:p>
        <a:p>
          <a:pPr algn="ctr"/>
          <a:endParaRPr lang="pt-BR" sz="900" b="1"/>
        </a:p>
      </xdr:txBody>
    </xdr:sp>
    <xdr:clientData/>
  </xdr:twoCellAnchor>
  <xdr:twoCellAnchor>
    <xdr:from>
      <xdr:col>7</xdr:col>
      <xdr:colOff>342901</xdr:colOff>
      <xdr:row>6</xdr:row>
      <xdr:rowOff>171450</xdr:rowOff>
    </xdr:from>
    <xdr:to>
      <xdr:col>9</xdr:col>
      <xdr:colOff>228601</xdr:colOff>
      <xdr:row>9</xdr:row>
      <xdr:rowOff>71187</xdr:rowOff>
    </xdr:to>
    <xdr:sp macro="" textlink="">
      <xdr:nvSpPr>
        <xdr:cNvPr id="7" name="Retângulo: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1F5838-808B-409B-B933-666526B1D0E1}"/>
            </a:ext>
          </a:extLst>
        </xdr:cNvPr>
        <xdr:cNvSpPr/>
      </xdr:nvSpPr>
      <xdr:spPr>
        <a:xfrm>
          <a:off x="3943351" y="1495425"/>
          <a:ext cx="1104900" cy="471237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 b="1"/>
            <a:t>Cronograma físico financeiro</a:t>
          </a:r>
        </a:p>
      </xdr:txBody>
    </xdr:sp>
    <xdr:clientData/>
  </xdr:twoCellAnchor>
  <xdr:twoCellAnchor>
    <xdr:from>
      <xdr:col>4</xdr:col>
      <xdr:colOff>409576</xdr:colOff>
      <xdr:row>10</xdr:row>
      <xdr:rowOff>114300</xdr:rowOff>
    </xdr:from>
    <xdr:to>
      <xdr:col>6</xdr:col>
      <xdr:colOff>295276</xdr:colOff>
      <xdr:row>12</xdr:row>
      <xdr:rowOff>180975</xdr:rowOff>
    </xdr:to>
    <xdr:sp macro="" textlink="">
      <xdr:nvSpPr>
        <xdr:cNvPr id="8" name="Retângulo: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BA086F-6E65-4811-98BF-038D0072056E}"/>
            </a:ext>
          </a:extLst>
        </xdr:cNvPr>
        <xdr:cNvSpPr/>
      </xdr:nvSpPr>
      <xdr:spPr>
        <a:xfrm>
          <a:off x="2181226" y="2200275"/>
          <a:ext cx="1104900" cy="44767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/>
            <a:t>Relatório custo</a:t>
          </a:r>
        </a:p>
      </xdr:txBody>
    </xdr:sp>
    <xdr:clientData/>
  </xdr:twoCellAnchor>
  <xdr:twoCellAnchor>
    <xdr:from>
      <xdr:col>2</xdr:col>
      <xdr:colOff>238126</xdr:colOff>
      <xdr:row>7</xdr:row>
      <xdr:rowOff>0</xdr:rowOff>
    </xdr:from>
    <xdr:to>
      <xdr:col>3</xdr:col>
      <xdr:colOff>523876</xdr:colOff>
      <xdr:row>9</xdr:row>
      <xdr:rowOff>74529</xdr:rowOff>
    </xdr:to>
    <xdr:sp macro="" textlink="">
      <xdr:nvSpPr>
        <xdr:cNvPr id="9" name="Retângulo: Canto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0645DC-1B78-4268-B6A9-F343F351203E}"/>
            </a:ext>
          </a:extLst>
        </xdr:cNvPr>
        <xdr:cNvSpPr/>
      </xdr:nvSpPr>
      <xdr:spPr>
        <a:xfrm>
          <a:off x="581026" y="1514475"/>
          <a:ext cx="1104900" cy="455529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/>
            <a:t>Dados cadastrais</a:t>
          </a:r>
        </a:p>
      </xdr:txBody>
    </xdr:sp>
    <xdr:clientData/>
  </xdr:twoCellAnchor>
  <xdr:twoCellAnchor>
    <xdr:from>
      <xdr:col>3</xdr:col>
      <xdr:colOff>58588</xdr:colOff>
      <xdr:row>1</xdr:row>
      <xdr:rowOff>98426</xdr:rowOff>
    </xdr:from>
    <xdr:to>
      <xdr:col>9</xdr:col>
      <xdr:colOff>514350</xdr:colOff>
      <xdr:row>4</xdr:row>
      <xdr:rowOff>28575</xdr:rowOff>
    </xdr:to>
    <xdr:sp macro="" textlink="">
      <xdr:nvSpPr>
        <xdr:cNvPr id="16" name="Retângulo: Cantos Diagonais Recortados 6">
          <a:extLst>
            <a:ext uri="{FF2B5EF4-FFF2-40B4-BE49-F238E27FC236}">
              <a16:creationId xmlns:a16="http://schemas.microsoft.com/office/drawing/2014/main" id="{E5D6D0C8-CF02-6EFF-8908-1E4DC626E2F8}"/>
            </a:ext>
          </a:extLst>
        </xdr:cNvPr>
        <xdr:cNvSpPr>
          <a:spLocks/>
        </xdr:cNvSpPr>
      </xdr:nvSpPr>
      <xdr:spPr bwMode="auto">
        <a:xfrm>
          <a:off x="1220638" y="212726"/>
          <a:ext cx="4113362" cy="711199"/>
        </a:xfrm>
        <a:custGeom>
          <a:avLst/>
          <a:gdLst>
            <a:gd name="T0" fmla="*/ 0 w 5214902"/>
            <a:gd name="T1" fmla="*/ 0 h 1177925"/>
            <a:gd name="T2" fmla="*/ 5018577 w 5214902"/>
            <a:gd name="T3" fmla="*/ 0 h 1177925"/>
            <a:gd name="T4" fmla="*/ 5214902 w 5214902"/>
            <a:gd name="T5" fmla="*/ 196325 h 1177925"/>
            <a:gd name="T6" fmla="*/ 5214902 w 5214902"/>
            <a:gd name="T7" fmla="*/ 1177925 h 1177925"/>
            <a:gd name="T8" fmla="*/ 5214902 w 5214902"/>
            <a:gd name="T9" fmla="*/ 1177925 h 1177925"/>
            <a:gd name="T10" fmla="*/ 196325 w 5214902"/>
            <a:gd name="T11" fmla="*/ 1177925 h 1177925"/>
            <a:gd name="T12" fmla="*/ 0 w 5214902"/>
            <a:gd name="T13" fmla="*/ 981600 h 1177925"/>
            <a:gd name="T14" fmla="*/ 0 w 5214902"/>
            <a:gd name="T15" fmla="*/ 0 h 117792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5214902"/>
            <a:gd name="T25" fmla="*/ 0 h 1177925"/>
            <a:gd name="T26" fmla="*/ 5214902 w 5214902"/>
            <a:gd name="T27" fmla="*/ 1177925 h 1177925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5214902" h="1177925">
              <a:moveTo>
                <a:pt x="0" y="0"/>
              </a:moveTo>
              <a:lnTo>
                <a:pt x="5018577" y="0"/>
              </a:lnTo>
              <a:lnTo>
                <a:pt x="5214902" y="196325"/>
              </a:lnTo>
              <a:lnTo>
                <a:pt x="5214902" y="1177925"/>
              </a:lnTo>
              <a:lnTo>
                <a:pt x="196325" y="1177925"/>
              </a:lnTo>
              <a:lnTo>
                <a:pt x="0" y="981600"/>
              </a:lnTo>
              <a:lnTo>
                <a:pt x="0" y="0"/>
              </a:lnTo>
              <a:close/>
            </a:path>
          </a:pathLst>
        </a:custGeom>
        <a:solidFill>
          <a:srgbClr val="43494E"/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BR" sz="1400" b="1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TRIBUNAL DE JUSTIÇA DE SÃO PAULO</a:t>
          </a:r>
          <a:endParaRPr lang="pt-B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pt-BR" sz="14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Secretaria de Administração e Abastecimento</a:t>
          </a:r>
          <a:endParaRPr lang="pt-B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114299</xdr:colOff>
      <xdr:row>1</xdr:row>
      <xdr:rowOff>95251</xdr:rowOff>
    </xdr:from>
    <xdr:to>
      <xdr:col>3</xdr:col>
      <xdr:colOff>57150</xdr:colOff>
      <xdr:row>4</xdr:row>
      <xdr:rowOff>19051</xdr:rowOff>
    </xdr:to>
    <xdr:grpSp>
      <xdr:nvGrpSpPr>
        <xdr:cNvPr id="17" name="Agrupar 16">
          <a:extLst>
            <a:ext uri="{FF2B5EF4-FFF2-40B4-BE49-F238E27FC236}">
              <a16:creationId xmlns:a16="http://schemas.microsoft.com/office/drawing/2014/main" id="{0D76A9AC-AFF9-B207-D134-7DDD00CBE487}"/>
            </a:ext>
          </a:extLst>
        </xdr:cNvPr>
        <xdr:cNvGrpSpPr>
          <a:grpSpLocks/>
        </xdr:cNvGrpSpPr>
      </xdr:nvGrpSpPr>
      <xdr:grpSpPr bwMode="auto">
        <a:xfrm>
          <a:off x="247649" y="209551"/>
          <a:ext cx="971551" cy="704850"/>
          <a:chOff x="0" y="0"/>
          <a:chExt cx="11779" cy="11779"/>
        </a:xfrm>
      </xdr:grpSpPr>
      <xdr:sp macro="" textlink="">
        <xdr:nvSpPr>
          <xdr:cNvPr id="20" name="Retângulo: Único Canto Recortado 5">
            <a:extLst>
              <a:ext uri="{FF2B5EF4-FFF2-40B4-BE49-F238E27FC236}">
                <a16:creationId xmlns:a16="http://schemas.microsoft.com/office/drawing/2014/main" id="{5CE88B93-1E53-358C-821D-2F93F431E457}"/>
              </a:ext>
            </a:extLst>
          </xdr:cNvPr>
          <xdr:cNvSpPr>
            <a:spLocks/>
          </xdr:cNvSpPr>
        </xdr:nvSpPr>
        <xdr:spPr bwMode="auto">
          <a:xfrm rot="5400000">
            <a:off x="0" y="0"/>
            <a:ext cx="11779" cy="11779"/>
          </a:xfrm>
          <a:custGeom>
            <a:avLst/>
            <a:gdLst>
              <a:gd name="T0" fmla="*/ 0 w 1177925"/>
              <a:gd name="T1" fmla="*/ 0 h 1177925"/>
              <a:gd name="T2" fmla="*/ 981600 w 1177925"/>
              <a:gd name="T3" fmla="*/ 0 h 1177925"/>
              <a:gd name="T4" fmla="*/ 1177925 w 1177925"/>
              <a:gd name="T5" fmla="*/ 196325 h 1177925"/>
              <a:gd name="T6" fmla="*/ 1177925 w 1177925"/>
              <a:gd name="T7" fmla="*/ 1177925 h 1177925"/>
              <a:gd name="T8" fmla="*/ 0 w 1177925"/>
              <a:gd name="T9" fmla="*/ 1177925 h 1177925"/>
              <a:gd name="T10" fmla="*/ 0 w 1177925"/>
              <a:gd name="T11" fmla="*/ 0 h 117792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77925"/>
              <a:gd name="T19" fmla="*/ 0 h 1177925"/>
              <a:gd name="T20" fmla="*/ 1177925 w 1177925"/>
              <a:gd name="T21" fmla="*/ 1177925 h 117792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77925" h="1177925">
                <a:moveTo>
                  <a:pt x="0" y="0"/>
                </a:moveTo>
                <a:lnTo>
                  <a:pt x="981600" y="0"/>
                </a:lnTo>
                <a:lnTo>
                  <a:pt x="1177925" y="196325"/>
                </a:lnTo>
                <a:lnTo>
                  <a:pt x="1177925" y="1177925"/>
                </a:lnTo>
                <a:lnTo>
                  <a:pt x="0" y="1177925"/>
                </a:lnTo>
                <a:lnTo>
                  <a:pt x="0" y="0"/>
                </a:lnTo>
                <a:close/>
              </a:path>
            </a:pathLst>
          </a:custGeom>
          <a:solidFill>
            <a:srgbClr val="DA5914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BR" sz="1800" b="1">
                <a:effectLst/>
                <a:latin typeface="Montserrat" panose="020F0502020204030204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pt-B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Retângulo: Único Canto Recortado 5">
            <a:extLst>
              <a:ext uri="{FF2B5EF4-FFF2-40B4-BE49-F238E27FC236}">
                <a16:creationId xmlns:a16="http://schemas.microsoft.com/office/drawing/2014/main" id="{3F9909BE-9383-1FF2-E073-C101DD6BFD61}"/>
              </a:ext>
            </a:extLst>
          </xdr:cNvPr>
          <xdr:cNvSpPr>
            <a:spLocks/>
          </xdr:cNvSpPr>
        </xdr:nvSpPr>
        <xdr:spPr bwMode="auto">
          <a:xfrm>
            <a:off x="87" y="2549"/>
            <a:ext cx="11367" cy="6594"/>
          </a:xfrm>
          <a:custGeom>
            <a:avLst/>
            <a:gdLst>
              <a:gd name="T0" fmla="*/ 0 w 1136673"/>
              <a:gd name="T1" fmla="*/ 0 h 659423"/>
              <a:gd name="T2" fmla="*/ 1026767 w 1136673"/>
              <a:gd name="T3" fmla="*/ 0 h 659423"/>
              <a:gd name="T4" fmla="*/ 1136673 w 1136673"/>
              <a:gd name="T5" fmla="*/ 109906 h 659423"/>
              <a:gd name="T6" fmla="*/ 1136673 w 1136673"/>
              <a:gd name="T7" fmla="*/ 659423 h 659423"/>
              <a:gd name="T8" fmla="*/ 0 w 1136673"/>
              <a:gd name="T9" fmla="*/ 659423 h 659423"/>
              <a:gd name="T10" fmla="*/ 0 w 1136673"/>
              <a:gd name="T11" fmla="*/ 0 h 65942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36673"/>
              <a:gd name="T19" fmla="*/ 0 h 659423"/>
              <a:gd name="T20" fmla="*/ 1136673 w 1136673"/>
              <a:gd name="T21" fmla="*/ 659423 h 65942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36673" h="659423">
                <a:moveTo>
                  <a:pt x="0" y="0"/>
                </a:moveTo>
                <a:lnTo>
                  <a:pt x="1026767" y="0"/>
                </a:lnTo>
                <a:lnTo>
                  <a:pt x="1136673" y="109906"/>
                </a:lnTo>
                <a:lnTo>
                  <a:pt x="1136673" y="659423"/>
                </a:lnTo>
                <a:lnTo>
                  <a:pt x="0" y="659423"/>
                </a:lnTo>
                <a:lnTo>
                  <a:pt x="0" y="0"/>
                </a:lnTo>
                <a:close/>
              </a:path>
            </a:pathLst>
          </a:custGeom>
          <a:solidFill>
            <a:srgbClr val="DA5914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BR" sz="1800" b="1">
                <a:effectLst/>
                <a:latin typeface="Montserrat" panose="020F0502020204030204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SAAB</a:t>
            </a:r>
            <a:endParaRPr lang="pt-B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200025</xdr:colOff>
      <xdr:row>4</xdr:row>
      <xdr:rowOff>24251</xdr:rowOff>
    </xdr:from>
    <xdr:to>
      <xdr:col>9</xdr:col>
      <xdr:colOff>514350</xdr:colOff>
      <xdr:row>5</xdr:row>
      <xdr:rowOff>180975</xdr:rowOff>
    </xdr:to>
    <xdr:sp macro="" textlink="">
      <xdr:nvSpPr>
        <xdr:cNvPr id="18" name="Retângulo: Cantos Superiores Recortados 9">
          <a:extLst>
            <a:ext uri="{FF2B5EF4-FFF2-40B4-BE49-F238E27FC236}">
              <a16:creationId xmlns:a16="http://schemas.microsoft.com/office/drawing/2014/main" id="{A04CA71E-FA70-22A6-F1E0-CFE228BBDF5E}"/>
            </a:ext>
          </a:extLst>
        </xdr:cNvPr>
        <xdr:cNvSpPr>
          <a:spLocks/>
        </xdr:cNvSpPr>
      </xdr:nvSpPr>
      <xdr:spPr bwMode="auto">
        <a:xfrm flipV="1">
          <a:off x="1362075" y="919601"/>
          <a:ext cx="3971925" cy="347224"/>
        </a:xfrm>
        <a:custGeom>
          <a:avLst/>
          <a:gdLst>
            <a:gd name="T0" fmla="*/ 2179 w 5034845"/>
            <a:gd name="T1" fmla="*/ 0 h 1307465"/>
            <a:gd name="T2" fmla="*/ 48169 w 5034845"/>
            <a:gd name="T3" fmla="*/ 0 h 1307465"/>
            <a:gd name="T4" fmla="*/ 50348 w 5034845"/>
            <a:gd name="T5" fmla="*/ 2179 h 1307465"/>
            <a:gd name="T6" fmla="*/ 50348 w 5034845"/>
            <a:gd name="T7" fmla="*/ 13074 h 1307465"/>
            <a:gd name="T8" fmla="*/ 50348 w 5034845"/>
            <a:gd name="T9" fmla="*/ 13074 h 1307465"/>
            <a:gd name="T10" fmla="*/ 0 w 5034845"/>
            <a:gd name="T11" fmla="*/ 13074 h 1307465"/>
            <a:gd name="T12" fmla="*/ 0 w 5034845"/>
            <a:gd name="T13" fmla="*/ 13074 h 1307465"/>
            <a:gd name="T14" fmla="*/ 0 w 5034845"/>
            <a:gd name="T15" fmla="*/ 2179 h 1307465"/>
            <a:gd name="T16" fmla="*/ 2179 w 5034845"/>
            <a:gd name="T17" fmla="*/ 0 h 130746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034845"/>
            <a:gd name="T28" fmla="*/ 0 h 1307465"/>
            <a:gd name="T29" fmla="*/ 5034845 w 5034845"/>
            <a:gd name="T30" fmla="*/ 1307465 h 1307465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034845" h="1307465">
              <a:moveTo>
                <a:pt x="217915" y="0"/>
              </a:moveTo>
              <a:lnTo>
                <a:pt x="4816930" y="0"/>
              </a:lnTo>
              <a:lnTo>
                <a:pt x="5034845" y="217915"/>
              </a:lnTo>
              <a:lnTo>
                <a:pt x="5034845" y="1307465"/>
              </a:lnTo>
              <a:lnTo>
                <a:pt x="0" y="1307465"/>
              </a:lnTo>
              <a:lnTo>
                <a:pt x="0" y="217915"/>
              </a:lnTo>
              <a:lnTo>
                <a:pt x="217915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>
            <a:lnSpc>
              <a:spcPct val="115000"/>
            </a:lnSpc>
            <a:spcBef>
              <a:spcPts val="1200"/>
            </a:spcBef>
            <a:spcAft>
              <a:spcPts val="1200"/>
            </a:spcAft>
            <a:tabLst>
              <a:tab pos="3060700" algn="l"/>
            </a:tabLst>
          </a:pPr>
          <a:r>
            <a:rPr lang="pt-BR" sz="1600" b="1">
              <a:solidFill>
                <a:srgbClr val="26262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448270</xdr:colOff>
      <xdr:row>4</xdr:row>
      <xdr:rowOff>57150</xdr:rowOff>
    </xdr:from>
    <xdr:to>
      <xdr:col>9</xdr:col>
      <xdr:colOff>409575</xdr:colOff>
      <xdr:row>5</xdr:row>
      <xdr:rowOff>133349</xdr:rowOff>
    </xdr:to>
    <xdr:sp macro="" textlink="">
      <xdr:nvSpPr>
        <xdr:cNvPr id="19" name="Retângulo: Cantos Superiores Recortados 9">
          <a:extLst>
            <a:ext uri="{FF2B5EF4-FFF2-40B4-BE49-F238E27FC236}">
              <a16:creationId xmlns:a16="http://schemas.microsoft.com/office/drawing/2014/main" id="{5513FBC0-B608-A580-D374-2BBA87BF7EC9}"/>
            </a:ext>
          </a:extLst>
        </xdr:cNvPr>
        <xdr:cNvSpPr>
          <a:spLocks/>
        </xdr:cNvSpPr>
      </xdr:nvSpPr>
      <xdr:spPr bwMode="auto">
        <a:xfrm>
          <a:off x="1610320" y="952500"/>
          <a:ext cx="3618905" cy="266699"/>
        </a:xfrm>
        <a:custGeom>
          <a:avLst/>
          <a:gdLst>
            <a:gd name="T0" fmla="*/ 3033 w 4538134"/>
            <a:gd name="T1" fmla="*/ 0 h 1819910"/>
            <a:gd name="T2" fmla="*/ 42349 w 4538134"/>
            <a:gd name="T3" fmla="*/ 0 h 1819910"/>
            <a:gd name="T4" fmla="*/ 45382 w 4538134"/>
            <a:gd name="T5" fmla="*/ 3033 h 1819910"/>
            <a:gd name="T6" fmla="*/ 45382 w 4538134"/>
            <a:gd name="T7" fmla="*/ 18198 h 1819910"/>
            <a:gd name="T8" fmla="*/ 45382 w 4538134"/>
            <a:gd name="T9" fmla="*/ 18198 h 1819910"/>
            <a:gd name="T10" fmla="*/ 0 w 4538134"/>
            <a:gd name="T11" fmla="*/ 18198 h 1819910"/>
            <a:gd name="T12" fmla="*/ 0 w 4538134"/>
            <a:gd name="T13" fmla="*/ 18198 h 1819910"/>
            <a:gd name="T14" fmla="*/ 0 w 4538134"/>
            <a:gd name="T15" fmla="*/ 3033 h 1819910"/>
            <a:gd name="T16" fmla="*/ 3033 w 4538134"/>
            <a:gd name="T17" fmla="*/ 0 h 181991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4538134"/>
            <a:gd name="T28" fmla="*/ 0 h 1819910"/>
            <a:gd name="T29" fmla="*/ 4538134 w 4538134"/>
            <a:gd name="T30" fmla="*/ 1819910 h 1819910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4538134" h="1819910">
              <a:moveTo>
                <a:pt x="303324" y="0"/>
              </a:moveTo>
              <a:lnTo>
                <a:pt x="4234810" y="0"/>
              </a:lnTo>
              <a:lnTo>
                <a:pt x="4538134" y="303324"/>
              </a:lnTo>
              <a:lnTo>
                <a:pt x="4538134" y="1819910"/>
              </a:lnTo>
              <a:lnTo>
                <a:pt x="0" y="1819910"/>
              </a:lnTo>
              <a:lnTo>
                <a:pt x="0" y="303324"/>
              </a:lnTo>
              <a:lnTo>
                <a:pt x="303324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noFill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>
            <a:lnSpc>
              <a:spcPct val="107000"/>
            </a:lnSpc>
            <a:spcBef>
              <a:spcPts val="1200"/>
            </a:spcBef>
            <a:spcAft>
              <a:spcPts val="1200"/>
            </a:spcAft>
            <a:tabLst>
              <a:tab pos="3060700" algn="l"/>
            </a:tabLst>
          </a:pPr>
          <a:r>
            <a:rPr lang="pt-BR" sz="1400" b="1">
              <a:solidFill>
                <a:srgbClr val="26262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ESTUDO TÉCNICO DE COMPOSIÇÃO DE CUSTO </a:t>
          </a:r>
          <a:endParaRPr lang="pt-BR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257175</xdr:colOff>
      <xdr:row>26</xdr:row>
      <xdr:rowOff>123825</xdr:rowOff>
    </xdr:from>
    <xdr:to>
      <xdr:col>6</xdr:col>
      <xdr:colOff>274085</xdr:colOff>
      <xdr:row>31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2F3681-CA39-411E-B6C0-5039092C4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5876925"/>
          <a:ext cx="123611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104777</xdr:colOff>
      <xdr:row>14</xdr:row>
      <xdr:rowOff>47624</xdr:rowOff>
    </xdr:from>
    <xdr:to>
      <xdr:col>9</xdr:col>
      <xdr:colOff>666751</xdr:colOff>
      <xdr:row>27</xdr:row>
      <xdr:rowOff>47624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E46F52B-56F1-4B87-B3DC-908F5D9ADA42}"/>
            </a:ext>
          </a:extLst>
        </xdr:cNvPr>
        <xdr:cNvSpPr txBox="1"/>
      </xdr:nvSpPr>
      <xdr:spPr>
        <a:xfrm>
          <a:off x="238127" y="2895599"/>
          <a:ext cx="5248274" cy="3095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900" b="1">
              <a:latin typeface="+mn-lt"/>
            </a:rPr>
            <a:t>Instruções de Preenchimento</a:t>
          </a:r>
          <a:r>
            <a:rPr lang="pt-BR" sz="900" b="1" baseline="0">
              <a:latin typeface="+mn-lt"/>
            </a:rPr>
            <a:t>:</a:t>
          </a:r>
          <a:endParaRPr lang="pt-BR" sz="900" b="1">
            <a:latin typeface="+mn-lt"/>
          </a:endParaRPr>
        </a:p>
        <a:p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1. Preencher somente as células das planilhas "Indicadores Financeiros" e "Uniformes e EPIs" destacadas em VERDE.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Os campos referentes ao ISSQN – Imposto Sobre Serviços de Qualquer Natureza são editáveis e deverão ser preenchidos/confirmados sob responsabilidade da licitante verificar a alíquota vigente de cada localidade.</a:t>
          </a:r>
        </a:p>
        <a:p>
          <a:r>
            <a:rPr lang="pt-BR" sz="900" baseline="0">
              <a:latin typeface="+mn-lt"/>
            </a:rPr>
            <a:t>3. As planilhas Relatório Custo e Cronograma Físico Financeiro são calculadas automaticamente e não deverão ser alteradas. Na planilha Resumo por Localidade poderá ser escolhido o Município, porém as demais células não deverão ser alteradas.</a:t>
          </a:r>
        </a:p>
        <a:p>
          <a:r>
            <a:rPr lang="pt-BR" sz="900" baseline="0">
              <a:latin typeface="+mn-lt"/>
            </a:rPr>
            <a:t>4.  Os percentuais de encargos sociais e trabalhistas, de contingenciamento e dos parâmetros de cálculo são fixos e não devem ser alterados.</a:t>
          </a:r>
        </a:p>
        <a:p>
          <a:r>
            <a:rPr lang="pt-BR" sz="900" baseline="0">
              <a:latin typeface="+mn-lt"/>
            </a:rPr>
            <a:t>5. Os valores deverão ser apresentados com duas casas decimais e arredondamento matemático no segundo dígito.</a:t>
          </a:r>
        </a:p>
        <a:p>
          <a:r>
            <a:rPr lang="pt-BR" sz="900" baseline="0">
              <a:latin typeface="+mn-lt"/>
            </a:rPr>
            <a:t>6. O percentual de BDI é calculado igualmente para todos os postos/serviços e de acordo com o ISS de cada município.</a:t>
          </a:r>
        </a:p>
        <a:p>
          <a:r>
            <a:rPr lang="pt-BR" sz="900">
              <a:latin typeface="+mn-lt"/>
            </a:rPr>
            <a:t>7. Os valores de salário</a:t>
          </a:r>
          <a:r>
            <a:rPr lang="pt-BR" sz="900" baseline="0">
              <a:latin typeface="+mn-lt"/>
            </a:rPr>
            <a:t> base e benefícios não podem ser inferiores aos estabelecidos na Convenção Coletiva da Categoria.</a:t>
          </a:r>
        </a:p>
        <a:p>
          <a:r>
            <a:rPr lang="pt-BR" sz="900" baseline="0">
              <a:latin typeface="+mn-lt"/>
            </a:rPr>
            <a:t>8. Os valores das horas eventuais e das horas extras são calculados automaticamente pela planilha a partir do preenchimento correto das células destacadas em VERDE da aba Indicadores Financeiros.</a:t>
          </a:r>
        </a:p>
        <a:p>
          <a:endParaRPr lang="pt-BR" sz="900">
            <a:latin typeface="+mn-lt"/>
          </a:endParaRPr>
        </a:p>
      </xdr:txBody>
    </xdr:sp>
    <xdr:clientData/>
  </xdr:twoCellAnchor>
  <xdr:twoCellAnchor>
    <xdr:from>
      <xdr:col>7</xdr:col>
      <xdr:colOff>428625</xdr:colOff>
      <xdr:row>25</xdr:row>
      <xdr:rowOff>95250</xdr:rowOff>
    </xdr:from>
    <xdr:to>
      <xdr:col>9</xdr:col>
      <xdr:colOff>400050</xdr:colOff>
      <xdr:row>26</xdr:row>
      <xdr:rowOff>171450</xdr:rowOff>
    </xdr:to>
    <xdr:grpSp>
      <xdr:nvGrpSpPr>
        <xdr:cNvPr id="11" name="Agrupar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52AEA7C-6ED5-B93E-3EB7-93C9E6637CE0}"/>
            </a:ext>
          </a:extLst>
        </xdr:cNvPr>
        <xdr:cNvGrpSpPr/>
      </xdr:nvGrpSpPr>
      <xdr:grpSpPr>
        <a:xfrm>
          <a:off x="4029075" y="5657850"/>
          <a:ext cx="1190625" cy="266700"/>
          <a:chOff x="4029075" y="5572125"/>
          <a:chExt cx="1190625" cy="266700"/>
        </a:xfrm>
      </xdr:grpSpPr>
      <xdr:sp macro="" textlink="">
        <xdr:nvSpPr>
          <xdr:cNvPr id="10" name="Retângulo: Cantos Arredondados 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C961B2AD-38F0-40CB-8C45-C7A0EAB59853}"/>
              </a:ext>
            </a:extLst>
          </xdr:cNvPr>
          <xdr:cNvSpPr/>
        </xdr:nvSpPr>
        <xdr:spPr>
          <a:xfrm>
            <a:off x="4029075" y="5572125"/>
            <a:ext cx="1190625" cy="266700"/>
          </a:xfrm>
          <a:prstGeom prst="roundRect">
            <a:avLst/>
          </a:prstGeom>
          <a:gradFill flip="none" rotWithShape="1">
            <a:gsLst>
              <a:gs pos="0">
                <a:schemeClr val="accent2">
                  <a:lumMod val="67000"/>
                </a:schemeClr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800" b="1"/>
              <a:t>Dúvidas frequentes</a:t>
            </a:r>
          </a:p>
          <a:p>
            <a:pPr algn="l"/>
            <a:endParaRPr lang="pt-BR" sz="800" b="1"/>
          </a:p>
        </xdr:txBody>
      </xdr:sp>
      <xdr:pic>
        <xdr:nvPicPr>
          <xdr:cNvPr id="13" name="Gráfico 12" descr="Selo ponto de interrogação com preenchimento sólido">
            <a:extLst>
              <a:ext uri="{FF2B5EF4-FFF2-40B4-BE49-F238E27FC236}">
                <a16:creationId xmlns:a16="http://schemas.microsoft.com/office/drawing/2014/main" id="{7A8B9BC4-E89D-AA6E-8BDB-673BFFA762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4981576" y="5600700"/>
            <a:ext cx="200025" cy="200025"/>
          </a:xfrm>
          <a:prstGeom prst="rect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0</xdr:row>
      <xdr:rowOff>291969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99728-CD89-4D9F-A677-CFBE69FE16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66675" y="19050"/>
          <a:ext cx="847725" cy="2729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185</xdr:row>
      <xdr:rowOff>177800</xdr:rowOff>
    </xdr:from>
    <xdr:to>
      <xdr:col>9</xdr:col>
      <xdr:colOff>742950</xdr:colOff>
      <xdr:row>195</xdr:row>
      <xdr:rowOff>179917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7475" y="35007550"/>
          <a:ext cx="8732308" cy="1907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 b="1">
              <a:latin typeface="+mn-lt"/>
            </a:rPr>
            <a:t>Fontes de Referências: </a:t>
          </a:r>
        </a:p>
        <a:p>
          <a:pPr marL="0" indent="0"/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CADTERC - Prestação de Serviços de Vigilância Patrimonial - Versão 3 - Dezembro/2023</a:t>
          </a:r>
          <a:r>
            <a:rPr lang="pt-BR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- Data base Janeiro 2023 (data de atualização 11/12/2023).</a:t>
          </a:r>
          <a:endParaRPr lang="pt-BR" sz="1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Norma principal - Convenção Coletiva de Trabalho firmada entre o Sindicato dos Empregados em Empresas de Vigilância, Segurança e Similares de São Paulo – SEEVISSP com o Sindicato das Empresas de Segurança Privada, Segurança Eletrônica, Serviços de Escolta e Cursos de Formação do Estado de São Paulo – SESVESP com  vigência de 01º de janeiro de 2024 a 31 de dezembro de 2025 e a data-base da categoria em 01º de janeiro (número de registro no MTE 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SP000101/2024</a:t>
          </a:r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Termo Aditivo do trabalho intermitente</a:t>
          </a:r>
          <a:r>
            <a:rPr lang="pt-BR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Firmado entre o Sindicato dos Empregados em Empresas de Vigilância, Segurança e Similares de São Paulo – SEEVISSP com o Sindicato das Empresas de Segurança Privada, Segurança Eletrônica, Serviços de Escolta e Cursos de Formação do Estado de São Paulo – SESVESP com vigência de 1º de janeiro de 2024 a 31 de dezembro de 2024 e a data-base da categoria em 01º de janeiro (número de registro no MTE 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SP000890/2024</a:t>
          </a:r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valores extraídos dos Estudos Técnicos de Serviços Terceirizados do Governo do Estado de São Paulo,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CADTERC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foram atualizados pelo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IPC – Fipe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(Índice de Preço ao Consumidor - Fundação Instituto de Pesquisas Econômicas), considerando o período de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de fevereiro de 2023 a 31 de janeiro de 2024.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pt-B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pt-BR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pt-BR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42331</xdr:colOff>
      <xdr:row>0</xdr:row>
      <xdr:rowOff>21166</xdr:rowOff>
    </xdr:from>
    <xdr:to>
      <xdr:col>1</xdr:col>
      <xdr:colOff>413806</xdr:colOff>
      <xdr:row>0</xdr:row>
      <xdr:rowOff>294085</xdr:rowOff>
    </xdr:to>
    <xdr:pic>
      <xdr:nvPicPr>
        <xdr:cNvPr id="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9AE66-29C9-4500-93D6-1CB37B3C4E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42331" y="21166"/>
          <a:ext cx="847725" cy="272919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116416</xdr:colOff>
      <xdr:row>196</xdr:row>
      <xdr:rowOff>63500</xdr:rowOff>
    </xdr:from>
    <xdr:to>
      <xdr:col>1</xdr:col>
      <xdr:colOff>487891</xdr:colOff>
      <xdr:row>197</xdr:row>
      <xdr:rowOff>145919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BF416-4B1B-4DCD-BB99-ABC2CCE6C4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116416" y="36988750"/>
          <a:ext cx="847725" cy="27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40</xdr:row>
      <xdr:rowOff>76200</xdr:rowOff>
    </xdr:from>
    <xdr:to>
      <xdr:col>10</xdr:col>
      <xdr:colOff>990599</xdr:colOff>
      <xdr:row>47</xdr:row>
      <xdr:rowOff>123825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0B02CDC-0A01-AE1D-F3E3-051F60DB82FC}"/>
            </a:ext>
          </a:extLst>
        </xdr:cNvPr>
        <xdr:cNvSpPr txBox="1"/>
      </xdr:nvSpPr>
      <xdr:spPr>
        <a:xfrm>
          <a:off x="171449" y="6734175"/>
          <a:ext cx="91630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/>
            <a:t>Instruções de preenchimento: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/>
            <a:t>1.</a:t>
          </a:r>
          <a:r>
            <a:rPr lang="pt-BR" sz="1000" baseline="0"/>
            <a:t> </a:t>
          </a:r>
          <a:r>
            <a:rPr lang="pt-BR" sz="1000"/>
            <a:t> </a:t>
          </a:r>
          <a:r>
            <a:rPr lang="pt-B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Preencher somente os custos unitários de cada item nas células desta planilha destacadas em VERDE.</a:t>
          </a:r>
          <a:endParaRPr lang="pt-BR" sz="1000">
            <a:effectLst/>
          </a:endParaRPr>
        </a:p>
        <a:p>
          <a:pPr marL="0" indent="0"/>
          <a:r>
            <a:rPr lang="pt-BR" sz="1000">
              <a:solidFill>
                <a:schemeClr val="dk1"/>
              </a:solidFill>
              <a:latin typeface="+mn-lt"/>
              <a:ea typeface="+mn-ea"/>
              <a:cs typeface="+mn-cs"/>
            </a:rPr>
            <a:t>2. Dividindo o custo unitário pela vida útil e mutiplicando pela quantidade prevista no posto, obtém-se automaticamente o custo mensal com cada item. O somatório deles gera o custo mensal total com uniformes e EPIs.</a:t>
          </a:r>
        </a:p>
        <a:p>
          <a:pPr marL="0" indent="0"/>
          <a:r>
            <a:rPr lang="pt-BR" sz="1000">
              <a:solidFill>
                <a:schemeClr val="dk1"/>
              </a:solidFill>
              <a:latin typeface="+mn-lt"/>
              <a:ea typeface="+mn-ea"/>
              <a:cs typeface="+mn-cs"/>
            </a:rPr>
            <a:t>3. Os itens não listados nas tabelas 1 e 2, tais como o celular, armários, assentos, detector de metais, livro de ocorrência, ombrelone, equipamentos da ronda eletrônica, caixa de areia, cofre, etc deverão ter</a:t>
          </a:r>
          <a:r>
            <a:rPr lang="pt-BR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seus custos </a:t>
          </a:r>
          <a:r>
            <a:rPr lang="pt-BR" sz="1000">
              <a:solidFill>
                <a:schemeClr val="dk1"/>
              </a:solidFill>
              <a:latin typeface="+mn-lt"/>
              <a:ea typeface="+mn-ea"/>
              <a:cs typeface="+mn-cs"/>
            </a:rPr>
            <a:t>suportados pelo % de despesas administrativas, em campo apropriado da aba "indicadores financeiros". 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133350</xdr:colOff>
      <xdr:row>0</xdr:row>
      <xdr:rowOff>19050</xdr:rowOff>
    </xdr:from>
    <xdr:to>
      <xdr:col>2</xdr:col>
      <xdr:colOff>638175</xdr:colOff>
      <xdr:row>1</xdr:row>
      <xdr:rowOff>110994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91E5F-CCC3-4D99-BC9F-BDDB5451A2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133350" y="19050"/>
          <a:ext cx="847725" cy="2729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28575</xdr:rowOff>
    </xdr:from>
    <xdr:to>
      <xdr:col>1</xdr:col>
      <xdr:colOff>483717</xdr:colOff>
      <xdr:row>1</xdr:row>
      <xdr:rowOff>21166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A970B-5260-4607-99FE-52BF58682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302684" y="28575"/>
          <a:ext cx="445616" cy="1407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9526</xdr:rowOff>
    </xdr:from>
    <xdr:to>
      <xdr:col>0</xdr:col>
      <xdr:colOff>790575</xdr:colOff>
      <xdr:row>1</xdr:row>
      <xdr:rowOff>13655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AFE74-4130-444A-AAA8-BB32B6B195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38100" y="9526"/>
          <a:ext cx="752475" cy="2422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52915</xdr:colOff>
      <xdr:row>0</xdr:row>
      <xdr:rowOff>31749</xdr:rowOff>
    </xdr:from>
    <xdr:to>
      <xdr:col>0</xdr:col>
      <xdr:colOff>900640</xdr:colOff>
      <xdr:row>0</xdr:row>
      <xdr:rowOff>304668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D63C3-C028-44A8-8D2D-73AFB0EABC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52915" y="31749"/>
          <a:ext cx="847725" cy="2729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85725</xdr:rowOff>
    </xdr:from>
    <xdr:to>
      <xdr:col>3</xdr:col>
      <xdr:colOff>416960</xdr:colOff>
      <xdr:row>5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E6A175-8CF3-40AF-AF36-9A9C2B49B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38150"/>
          <a:ext cx="123611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152400</xdr:colOff>
      <xdr:row>11</xdr:row>
      <xdr:rowOff>400049</xdr:rowOff>
    </xdr:from>
    <xdr:to>
      <xdr:col>6</xdr:col>
      <xdr:colOff>123825</xdr:colOff>
      <xdr:row>11</xdr:row>
      <xdr:rowOff>590550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B4F809-380A-4EF8-B9E0-691C5D590AEA}"/>
            </a:ext>
          </a:extLst>
        </xdr:cNvPr>
        <xdr:cNvSpPr/>
      </xdr:nvSpPr>
      <xdr:spPr>
        <a:xfrm>
          <a:off x="2047875" y="2981324"/>
          <a:ext cx="1190625" cy="190501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INDICADORES FINANCEIROS</a:t>
          </a:r>
          <a:endParaRPr lang="pt-BR" sz="6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752475</xdr:colOff>
      <xdr:row>0</xdr:row>
      <xdr:rowOff>272919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ED7D8A-CBFE-430A-9E5C-1BA1DC659C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7" t="16880" r="7692" b="7811"/>
        <a:stretch/>
      </xdr:blipFill>
      <xdr:spPr>
        <a:xfrm>
          <a:off x="276225" y="0"/>
          <a:ext cx="847725" cy="2729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3" displayName="Tabela3" ref="A1:E323" totalsRowCount="1">
  <autoFilter ref="A1:E322" xr:uid="{00000000-0009-0000-0100-000001000000}"/>
  <sortState xmlns:xlrd2="http://schemas.microsoft.com/office/spreadsheetml/2017/richdata2" ref="A2:E322">
    <sortCondition ref="B2:B322"/>
    <sortCondition ref="A2:A322"/>
  </sortState>
  <tableColumns count="5">
    <tableColumn id="1" xr3:uid="{00000000-0010-0000-0000-000001000000}" name="RA" dataDxfId="2" totalsRowDxfId="3"/>
    <tableColumn id="4" xr3:uid="{00000000-0010-0000-0000-000004000000}" name="Município"/>
    <tableColumn id="5" xr3:uid="{00000000-0010-0000-0000-000005000000}" name="ISS" dataDxfId="1" dataCellStyle="Porcentagem"/>
    <tableColumn id="7" xr3:uid="{00000000-0010-0000-0000-000007000000}" name="BDI" dataDxfId="0" dataCellStyle="Porcentagem">
      <calculatedColumnFormula>ROUND((1+'Indicadores Financeiros'!$F$8)*(1+'Indicadores Financeiros'!$F$9)/(1-'Indicadores Financeiros'!$F$10-'Indicadores Financeiros'!$F$11-Tabela3[[#This Row],[ISS]])-1,4)</calculatedColumnFormula>
    </tableColumn>
    <tableColumn id="6" xr3:uid="{00000000-0010-0000-0000-000006000000}" name="Legislaçã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200.144.30.103/ISSQN/Asppages/pesq_municipio_convenio_aliquota_L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0CAA-5E4B-4034-956B-BDF8DEDF1180}">
  <sheetPr>
    <tabColor rgb="FF00B050"/>
  </sheetPr>
  <dimension ref="B1:N31"/>
  <sheetViews>
    <sheetView showGridLines="0" tabSelected="1" zoomScaleNormal="100" workbookViewId="0">
      <selection activeCell="M4" sqref="M4"/>
    </sheetView>
  </sheetViews>
  <sheetFormatPr defaultRowHeight="15"/>
  <cols>
    <col min="1" max="1" width="2" customWidth="1"/>
    <col min="2" max="2" width="3.140625" customWidth="1"/>
    <col min="3" max="3" width="12.28515625" customWidth="1"/>
    <col min="10" max="10" width="12.140625" customWidth="1"/>
    <col min="11" max="11" width="3.42578125" customWidth="1"/>
    <col min="12" max="13" width="9.140625" customWidth="1"/>
    <col min="14" max="14" width="16.42578125" customWidth="1"/>
    <col min="15" max="15" width="3" customWidth="1"/>
  </cols>
  <sheetData>
    <row r="1" spans="2:10" ht="9" customHeight="1" thickBot="1"/>
    <row r="2" spans="2:10">
      <c r="B2" s="257"/>
      <c r="C2" s="258"/>
      <c r="D2" s="258"/>
      <c r="E2" s="258"/>
      <c r="F2" s="258"/>
      <c r="G2" s="258"/>
      <c r="H2" s="258"/>
      <c r="I2" s="258"/>
      <c r="J2" s="259"/>
    </row>
    <row r="3" spans="2:10" ht="23.25">
      <c r="B3" s="260"/>
      <c r="F3" s="261"/>
      <c r="J3" s="262"/>
    </row>
    <row r="4" spans="2:10" ht="23.25">
      <c r="B4" s="260"/>
      <c r="F4" s="263"/>
      <c r="J4" s="262"/>
    </row>
    <row r="5" spans="2:10">
      <c r="B5" s="260"/>
      <c r="J5" s="262"/>
    </row>
    <row r="6" spans="2:10" ht="18.75">
      <c r="B6" s="260"/>
      <c r="D6" s="268"/>
      <c r="J6" s="262"/>
    </row>
    <row r="7" spans="2:10">
      <c r="B7" s="260"/>
      <c r="J7" s="262"/>
    </row>
    <row r="8" spans="2:10">
      <c r="B8" s="260"/>
      <c r="J8" s="262"/>
    </row>
    <row r="9" spans="2:10">
      <c r="B9" s="260"/>
      <c r="J9" s="262"/>
    </row>
    <row r="10" spans="2:10">
      <c r="B10" s="260"/>
      <c r="J10" s="262"/>
    </row>
    <row r="11" spans="2:10">
      <c r="B11" s="260"/>
      <c r="J11" s="262"/>
    </row>
    <row r="12" spans="2:10">
      <c r="B12" s="260"/>
      <c r="J12" s="262"/>
    </row>
    <row r="13" spans="2:10">
      <c r="B13" s="260"/>
      <c r="J13" s="262"/>
    </row>
    <row r="14" spans="2:10">
      <c r="B14" s="260"/>
      <c r="J14" s="262"/>
    </row>
    <row r="15" spans="2:10">
      <c r="B15" s="260"/>
      <c r="J15" s="262"/>
    </row>
    <row r="16" spans="2:10">
      <c r="B16" s="260"/>
      <c r="J16" s="262"/>
    </row>
    <row r="17" spans="2:14">
      <c r="B17" s="260"/>
      <c r="C17" s="264"/>
      <c r="J17" s="262"/>
    </row>
    <row r="18" spans="2:14">
      <c r="B18" s="260"/>
      <c r="C18" s="275"/>
      <c r="D18" s="275"/>
      <c r="E18" s="275"/>
      <c r="F18" s="275"/>
      <c r="G18" s="275"/>
      <c r="H18" s="275"/>
      <c r="I18" s="275"/>
      <c r="J18" s="278"/>
      <c r="K18" s="275"/>
      <c r="L18" s="275"/>
      <c r="M18" s="275"/>
      <c r="N18" s="275"/>
    </row>
    <row r="19" spans="2:14" ht="29.25" customHeight="1">
      <c r="B19" s="260"/>
      <c r="C19" s="277"/>
      <c r="D19" s="277"/>
      <c r="E19" s="277"/>
      <c r="F19" s="277"/>
      <c r="G19" s="277"/>
      <c r="H19" s="277"/>
      <c r="I19" s="277"/>
      <c r="J19" s="279"/>
      <c r="K19" s="277"/>
      <c r="L19" s="277"/>
      <c r="M19" s="277"/>
      <c r="N19" s="277"/>
    </row>
    <row r="20" spans="2:14" ht="28.5" customHeight="1">
      <c r="B20" s="260"/>
      <c r="C20" s="276"/>
      <c r="D20" s="276"/>
      <c r="E20" s="276"/>
      <c r="F20" s="276"/>
      <c r="G20" s="276"/>
      <c r="H20" s="276"/>
      <c r="I20" s="276"/>
      <c r="J20" s="280"/>
      <c r="K20" s="276"/>
      <c r="L20" s="276"/>
      <c r="M20" s="276"/>
      <c r="N20" s="276"/>
    </row>
    <row r="21" spans="2:14" ht="24" customHeight="1">
      <c r="B21" s="260"/>
      <c r="C21" s="276"/>
      <c r="D21" s="276"/>
      <c r="E21" s="276"/>
      <c r="F21" s="276"/>
      <c r="G21" s="276"/>
      <c r="H21" s="276"/>
      <c r="I21" s="276"/>
      <c r="J21" s="280"/>
      <c r="K21" s="276"/>
      <c r="L21" s="276"/>
      <c r="M21" s="276"/>
      <c r="N21" s="276"/>
    </row>
    <row r="22" spans="2:14">
      <c r="B22" s="260"/>
      <c r="C22" s="276"/>
      <c r="D22" s="276"/>
      <c r="E22" s="276"/>
      <c r="F22" s="276"/>
      <c r="G22" s="276"/>
      <c r="H22" s="276"/>
      <c r="I22" s="276"/>
      <c r="J22" s="280"/>
      <c r="K22" s="276"/>
      <c r="L22" s="276"/>
      <c r="M22" s="276"/>
      <c r="N22" s="276"/>
    </row>
    <row r="23" spans="2:14">
      <c r="B23" s="260"/>
      <c r="C23" s="276"/>
      <c r="D23" s="276"/>
      <c r="E23" s="276"/>
      <c r="F23" s="276"/>
      <c r="G23" s="276"/>
      <c r="H23" s="276"/>
      <c r="I23" s="276"/>
      <c r="J23" s="280"/>
      <c r="K23" s="276"/>
      <c r="L23" s="276"/>
      <c r="M23" s="276"/>
      <c r="N23" s="276"/>
    </row>
    <row r="24" spans="2:14">
      <c r="B24" s="260"/>
      <c r="C24" s="276"/>
      <c r="D24" s="276"/>
      <c r="E24" s="276"/>
      <c r="F24" s="276"/>
      <c r="G24" s="276"/>
      <c r="H24" s="276"/>
      <c r="I24" s="276"/>
      <c r="J24" s="280"/>
      <c r="K24" s="276"/>
      <c r="L24" s="276"/>
      <c r="M24" s="276"/>
      <c r="N24" s="276"/>
    </row>
    <row r="25" spans="2:14" ht="27" customHeight="1">
      <c r="B25" s="260"/>
      <c r="C25" s="276"/>
      <c r="D25" s="276"/>
      <c r="E25" s="276"/>
      <c r="F25" s="276"/>
      <c r="G25" s="276"/>
      <c r="H25" s="276"/>
      <c r="I25" s="276"/>
      <c r="J25" s="280"/>
      <c r="K25" s="276"/>
      <c r="L25" s="276"/>
      <c r="M25" s="276"/>
      <c r="N25" s="276"/>
    </row>
    <row r="26" spans="2:14">
      <c r="B26" s="260"/>
      <c r="J26" s="262"/>
    </row>
    <row r="27" spans="2:14">
      <c r="B27" s="260"/>
      <c r="J27" s="262"/>
    </row>
    <row r="28" spans="2:14">
      <c r="B28" s="260"/>
      <c r="J28" s="262"/>
    </row>
    <row r="29" spans="2:14">
      <c r="B29" s="260"/>
      <c r="J29" s="262"/>
    </row>
    <row r="30" spans="2:14">
      <c r="B30" s="260"/>
      <c r="J30" s="262"/>
    </row>
    <row r="31" spans="2:14" ht="15.75" thickBot="1">
      <c r="B31" s="265"/>
      <c r="C31" s="266"/>
      <c r="D31" s="266"/>
      <c r="E31" s="266"/>
      <c r="F31" s="266"/>
      <c r="G31" s="266"/>
      <c r="H31" s="266"/>
      <c r="I31" s="266"/>
      <c r="J31" s="267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LQ290"/>
  <sheetViews>
    <sheetView showGridLines="0" zoomScaleNormal="100" workbookViewId="0">
      <pane ySplit="3" topLeftCell="A4" activePane="bottomLeft" state="frozen"/>
      <selection pane="bottomLeft" activeCell="D14" sqref="D14:D16"/>
      <selection activeCell="D14" sqref="D14:D16"/>
    </sheetView>
  </sheetViews>
  <sheetFormatPr defaultColWidth="9.140625" defaultRowHeight="12.75"/>
  <cols>
    <col min="1" max="1" width="7.7109375" style="121" customWidth="1"/>
    <col min="2" max="2" width="44.140625" style="123" customWidth="1"/>
    <col min="3" max="3" width="8.7109375" style="123" customWidth="1"/>
    <col min="4" max="4" width="9.140625" style="123" customWidth="1"/>
    <col min="5" max="5" width="9.85546875" style="123" customWidth="1"/>
    <col min="6" max="7" width="9.140625" style="123" customWidth="1"/>
    <col min="8" max="8" width="7.140625" style="118" bestFit="1" customWidth="1"/>
    <col min="9" max="9" width="12.140625" style="118" customWidth="1"/>
    <col min="10" max="10" width="8.5703125" style="119" customWidth="1"/>
    <col min="11" max="11" width="14.85546875" style="120" customWidth="1"/>
    <col min="12" max="12" width="12.5703125" style="121" customWidth="1"/>
    <col min="13" max="329" width="9.140625" style="122"/>
    <col min="330" max="16384" width="9.140625" style="121"/>
  </cols>
  <sheetData>
    <row r="1" spans="1:329">
      <c r="A1" s="385" t="s">
        <v>206</v>
      </c>
      <c r="B1" s="386"/>
      <c r="C1" s="387" t="s">
        <v>581</v>
      </c>
      <c r="D1" s="388"/>
      <c r="E1" s="388"/>
      <c r="F1" s="388"/>
      <c r="G1" s="389"/>
      <c r="LQ1" s="123"/>
    </row>
    <row r="2" spans="1:329">
      <c r="LQ2" s="123"/>
    </row>
    <row r="3" spans="1:329" ht="80.25" customHeight="1">
      <c r="A3" s="124" t="s">
        <v>119</v>
      </c>
      <c r="B3" s="124" t="s">
        <v>120</v>
      </c>
      <c r="C3" s="125" t="s">
        <v>121</v>
      </c>
      <c r="D3" s="126" t="s">
        <v>208</v>
      </c>
      <c r="E3" s="127" t="s">
        <v>209</v>
      </c>
      <c r="F3" s="127" t="s">
        <v>210</v>
      </c>
      <c r="G3" s="127" t="s">
        <v>211</v>
      </c>
      <c r="H3" s="127" t="s">
        <v>212</v>
      </c>
      <c r="I3" s="127" t="s">
        <v>215</v>
      </c>
      <c r="J3" s="127" t="s">
        <v>284</v>
      </c>
      <c r="K3" s="127" t="s">
        <v>217</v>
      </c>
      <c r="L3" s="127" t="s">
        <v>218</v>
      </c>
      <c r="LQ3" s="121"/>
    </row>
    <row r="4" spans="1:329" s="139" customFormat="1" ht="25.5">
      <c r="A4" s="128">
        <v>680004</v>
      </c>
      <c r="B4" s="129" t="str">
        <f>VLOOKUP($A4,'Indicadores Financeiros'!$A$107:$J$113,2,FALSE)</f>
        <v>Posto de vigilante noturno: 12 horas - escala de 12 x 36 de segunda-feira a domingo</v>
      </c>
      <c r="C4" s="129" t="str">
        <f>VLOOKUP($A4,'Indicadores Financeiros'!$A$107:$M$113,3,FALSE)</f>
        <v>Posto/Dia</v>
      </c>
      <c r="D4" s="130">
        <f>VLOOKUP($A4,'Indicadores Financeiros'!$A$107:$M$113,6,FALSE)</f>
        <v>2</v>
      </c>
      <c r="E4" s="130">
        <f>VLOOKUP($A4,'Indicadores Financeiros'!$A$107:$J$113,7,FALSE)</f>
        <v>15.22</v>
      </c>
      <c r="F4" s="131">
        <f>IF(C4="Posto/Dia",INT(VLOOKUP($A4,'Indicadores Financeiros'!$A$107:$J$113,7,FALSE)*D4)+IF(C4="Posto/dia",1,0),0)</f>
        <v>31</v>
      </c>
      <c r="G4" s="132">
        <v>1</v>
      </c>
      <c r="H4" s="131">
        <f t="shared" ref="H4:H9" si="0">IF(C4="Posto/Dia",F4*G4,G4)</f>
        <v>31</v>
      </c>
      <c r="I4" s="133">
        <f>VLOOKUP(A4,'Relatório Custo'!C:U,17)</f>
        <v>450.33</v>
      </c>
      <c r="J4" s="134">
        <f>VLOOKUP($C$1,Tabela3[[Município]:[BDI]],3,FALSE)</f>
        <v>0.2114</v>
      </c>
      <c r="K4" s="135">
        <f>ROUND(I4*(1+J4),2)</f>
        <v>545.53</v>
      </c>
      <c r="L4" s="136">
        <f t="shared" ref="L4:L9" si="1">IF(C4="Posto/Dia",IFERROR(ROUND(H4*K4,2),0),H4*K4)</f>
        <v>16911.43</v>
      </c>
      <c r="M4" s="137"/>
      <c r="N4" s="138"/>
      <c r="O4" s="138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</row>
    <row r="5" spans="1:329" s="139" customFormat="1" ht="38.25">
      <c r="A5" s="128">
        <v>680011</v>
      </c>
      <c r="B5" s="129" t="str">
        <f>VLOOKUP($A5,'Indicadores Financeiros'!$A$107:$J$113,2,FALSE)</f>
        <v>Posto de vigilante diurno - com almocista (repositor) - 12 horas - escala de 12 x 36 de segunda-feira a domingo</v>
      </c>
      <c r="C5" s="129" t="str">
        <f>VLOOKUP($A5,'Indicadores Financeiros'!$A$107:$M$113,3,FALSE)</f>
        <v>Posto/Dia</v>
      </c>
      <c r="D5" s="130">
        <f>VLOOKUP($A5,'Indicadores Financeiros'!$A$107:$M$113,6,FALSE)</f>
        <v>2</v>
      </c>
      <c r="E5" s="130">
        <f>VLOOKUP($A5,'Indicadores Financeiros'!$A$107:$J$113,7,FALSE)</f>
        <v>15.22</v>
      </c>
      <c r="F5" s="131">
        <f>IF(C5="Posto/Dia",INT(VLOOKUP($A5,'Indicadores Financeiros'!$A$107:$J$113,7,FALSE)*D5)+IF(C5="Posto/dia",1,0),0)</f>
        <v>31</v>
      </c>
      <c r="G5" s="132">
        <v>1</v>
      </c>
      <c r="H5" s="131">
        <f t="shared" si="0"/>
        <v>31</v>
      </c>
      <c r="I5" s="133">
        <f>VLOOKUP(A5,'Relatório Custo'!C:U,17)</f>
        <v>392.67</v>
      </c>
      <c r="J5" s="134">
        <f>VLOOKUP($C$1,Tabela3[[Município]:[BDI]],3,FALSE)</f>
        <v>0.2114</v>
      </c>
      <c r="K5" s="135">
        <f t="shared" ref="K5:K9" si="2">ROUND(I5*(1+J5),2)</f>
        <v>475.68</v>
      </c>
      <c r="L5" s="136">
        <f t="shared" si="1"/>
        <v>14746.08</v>
      </c>
      <c r="M5" s="137"/>
      <c r="N5" s="138"/>
      <c r="O5" s="138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</row>
    <row r="6" spans="1:329" s="139" customFormat="1" ht="38.25">
      <c r="A6" s="128">
        <v>680018</v>
      </c>
      <c r="B6" s="129" t="str">
        <f>VLOOKUP($A6,'Indicadores Financeiros'!$A$107:$J$113,2,FALSE)</f>
        <v>Posto de vigilante diurno - com almocista (repositor) - 44 horas semanais de segunda a sexta-feira - arma não letal</v>
      </c>
      <c r="C6" s="129" t="str">
        <f>VLOOKUP($A6,'Indicadores Financeiros'!$A$107:$M$113,3,FALSE)</f>
        <v>Posto/Dia</v>
      </c>
      <c r="D6" s="130">
        <f>VLOOKUP($A6,'Indicadores Financeiros'!$A$107:$M$113,6,FALSE)</f>
        <v>1</v>
      </c>
      <c r="E6" s="130">
        <f>VLOOKUP($A6,'Indicadores Financeiros'!$A$107:$J$113,7,FALSE)</f>
        <v>21</v>
      </c>
      <c r="F6" s="131">
        <f>IF(C6="Posto/Dia",INT(VLOOKUP($A6,'Indicadores Financeiros'!$A$107:$J$113,7,FALSE)*D6)+IF(C6="Posto/dia",1,0),0)</f>
        <v>22</v>
      </c>
      <c r="G6" s="132">
        <v>1</v>
      </c>
      <c r="H6" s="131">
        <f t="shared" si="0"/>
        <v>22</v>
      </c>
      <c r="I6" s="133">
        <f>VLOOKUP(A6,'Relatório Custo'!C:U,17)</f>
        <v>310.13</v>
      </c>
      <c r="J6" s="134">
        <f>VLOOKUP($C$1,Tabela3[[Município]:[BDI]],3,FALSE)</f>
        <v>0.2114</v>
      </c>
      <c r="K6" s="135">
        <f t="shared" si="2"/>
        <v>375.69</v>
      </c>
      <c r="L6" s="136">
        <f t="shared" si="1"/>
        <v>8265.18</v>
      </c>
      <c r="M6" s="137"/>
      <c r="N6" s="138"/>
      <c r="O6" s="138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 s="122"/>
      <c r="IX6" s="122"/>
      <c r="IY6" s="122"/>
      <c r="IZ6" s="122"/>
      <c r="JA6" s="122"/>
      <c r="JB6" s="122"/>
      <c r="JC6" s="122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2"/>
      <c r="JT6" s="122"/>
      <c r="JU6" s="122"/>
      <c r="JV6" s="122"/>
      <c r="JW6" s="122"/>
      <c r="JX6" s="122"/>
      <c r="JY6" s="122"/>
      <c r="JZ6" s="122"/>
      <c r="KA6" s="122"/>
      <c r="KB6" s="122"/>
      <c r="KC6" s="122"/>
      <c r="KD6" s="122"/>
      <c r="KE6" s="122"/>
      <c r="KF6" s="122"/>
      <c r="KG6" s="122"/>
      <c r="KH6" s="122"/>
      <c r="KI6" s="122"/>
      <c r="KJ6" s="122"/>
      <c r="KK6" s="122"/>
      <c r="KL6" s="122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2"/>
      <c r="LC6" s="122"/>
      <c r="LD6" s="122"/>
      <c r="LE6" s="122"/>
      <c r="LF6" s="122"/>
      <c r="LG6" s="122"/>
      <c r="LH6" s="122"/>
      <c r="LI6" s="122"/>
      <c r="LJ6" s="122"/>
      <c r="LK6" s="122"/>
      <c r="LL6" s="122"/>
      <c r="LM6" s="122"/>
      <c r="LN6" s="122"/>
      <c r="LO6" s="122"/>
      <c r="LP6" s="122"/>
    </row>
    <row r="7" spans="1:329" s="139" customFormat="1" ht="25.5">
      <c r="A7" s="128">
        <v>680021</v>
      </c>
      <c r="B7" s="129" t="str">
        <f>VLOOKUP($A7,'Indicadores Financeiros'!$A$107:$J$113,2,FALSE)</f>
        <v xml:space="preserve">Posto de vigilante diurno - com almocista (repositor) - 12 horas diárias - segunda a sexta-feira </v>
      </c>
      <c r="C7" s="129" t="str">
        <f>VLOOKUP($A7,'Indicadores Financeiros'!$A$107:$M$113,3,FALSE)</f>
        <v>Posto/Dia</v>
      </c>
      <c r="D7" s="130">
        <f>VLOOKUP($A7,'Indicadores Financeiros'!$A$107:$M$113,6,FALSE)</f>
        <v>1.37</v>
      </c>
      <c r="E7" s="130">
        <f>VLOOKUP($A7,'Indicadores Financeiros'!$A$107:$J$113,7,FALSE)</f>
        <v>21</v>
      </c>
      <c r="F7" s="131">
        <f>IF(C7="Posto/Dia",INT(VLOOKUP($A7,'Indicadores Financeiros'!$A$107:$J$113,7,FALSE)*D7)+IF(C7="Posto/dia",1,0),0)</f>
        <v>29</v>
      </c>
      <c r="G7" s="132">
        <v>1</v>
      </c>
      <c r="H7" s="131">
        <f t="shared" si="0"/>
        <v>29</v>
      </c>
      <c r="I7" s="133">
        <f>VLOOKUP(A7,'Relatório Custo'!C:U,17)</f>
        <v>417.94</v>
      </c>
      <c r="J7" s="134">
        <f>VLOOKUP($C$1,Tabela3[[Município]:[BDI]],3,FALSE)</f>
        <v>0.2114</v>
      </c>
      <c r="K7" s="135">
        <f t="shared" si="2"/>
        <v>506.29</v>
      </c>
      <c r="L7" s="136">
        <f t="shared" si="1"/>
        <v>14682.41</v>
      </c>
      <c r="M7" s="137"/>
      <c r="N7" s="138"/>
      <c r="O7" s="138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/>
      <c r="LK7" s="122"/>
      <c r="LL7" s="122"/>
      <c r="LM7" s="122"/>
      <c r="LN7" s="122"/>
      <c r="LO7" s="122"/>
      <c r="LP7" s="122"/>
    </row>
    <row r="8" spans="1:329" s="139" customFormat="1" ht="38.25">
      <c r="A8" s="128">
        <v>680023</v>
      </c>
      <c r="B8" s="129" t="str">
        <f>VLOOKUP($A8,'Indicadores Financeiros'!$A$107:$J$113,2,FALSE)</f>
        <v>Posto de vigilante diurno: com almocista (repositor) - 44 horas semanais de segunda a sexta-feira - desarmado</v>
      </c>
      <c r="C8" s="129" t="str">
        <f>VLOOKUP($A8,'Indicadores Financeiros'!$A$107:$M$113,3,FALSE)</f>
        <v>Posto/Dia</v>
      </c>
      <c r="D8" s="130">
        <f>VLOOKUP($A8,'Indicadores Financeiros'!$A$107:$M$113,6,FALSE)</f>
        <v>1</v>
      </c>
      <c r="E8" s="130">
        <f>VLOOKUP($A8,'Indicadores Financeiros'!$A$107:$J$113,7,FALSE)</f>
        <v>21</v>
      </c>
      <c r="F8" s="131">
        <f>IF(C8="Posto/Dia",INT(VLOOKUP($A8,'Indicadores Financeiros'!$A$107:$J$113,7,FALSE)*D8)+IF(C8="Posto/dia",1,0),0)</f>
        <v>22</v>
      </c>
      <c r="G8" s="132">
        <v>1</v>
      </c>
      <c r="H8" s="131">
        <f t="shared" si="0"/>
        <v>22</v>
      </c>
      <c r="I8" s="133">
        <f>VLOOKUP(A8,'Relatório Custo'!C:U,17)</f>
        <v>309.72000000000003</v>
      </c>
      <c r="J8" s="134">
        <f>VLOOKUP($C$1,Tabela3[[Município]:[BDI]],3,FALSE)</f>
        <v>0.2114</v>
      </c>
      <c r="K8" s="135">
        <f t="shared" si="2"/>
        <v>375.19</v>
      </c>
      <c r="L8" s="136">
        <f t="shared" si="1"/>
        <v>8254.18</v>
      </c>
      <c r="M8" s="137"/>
      <c r="N8" s="138"/>
      <c r="O8" s="138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  <c r="IY8" s="122"/>
      <c r="IZ8" s="122"/>
      <c r="JA8" s="122"/>
      <c r="JB8" s="122"/>
      <c r="JC8" s="122"/>
      <c r="JD8" s="122"/>
      <c r="JE8" s="122"/>
      <c r="JF8" s="122"/>
      <c r="JG8" s="122"/>
      <c r="JH8" s="122"/>
      <c r="JI8" s="122"/>
      <c r="JJ8" s="122"/>
      <c r="JK8" s="122"/>
      <c r="JL8" s="122"/>
      <c r="JM8" s="122"/>
      <c r="JN8" s="122"/>
      <c r="JO8" s="122"/>
      <c r="JP8" s="122"/>
      <c r="JQ8" s="122"/>
      <c r="JR8" s="122"/>
      <c r="JS8" s="122"/>
      <c r="JT8" s="122"/>
      <c r="JU8" s="122"/>
      <c r="JV8" s="122"/>
      <c r="JW8" s="122"/>
      <c r="JX8" s="122"/>
      <c r="JY8" s="122"/>
      <c r="JZ8" s="122"/>
      <c r="KA8" s="122"/>
      <c r="KB8" s="122"/>
      <c r="KC8" s="122"/>
      <c r="KD8" s="122"/>
      <c r="KE8" s="122"/>
      <c r="KF8" s="122"/>
      <c r="KG8" s="122"/>
      <c r="KH8" s="122"/>
      <c r="KI8" s="122"/>
      <c r="KJ8" s="122"/>
      <c r="KK8" s="122"/>
      <c r="KL8" s="122"/>
      <c r="KM8" s="122"/>
      <c r="KN8" s="122"/>
      <c r="KO8" s="122"/>
      <c r="KP8" s="122"/>
      <c r="KQ8" s="122"/>
      <c r="KR8" s="122"/>
      <c r="KS8" s="122"/>
      <c r="KT8" s="122"/>
      <c r="KU8" s="122"/>
      <c r="KV8" s="122"/>
      <c r="KW8" s="122"/>
      <c r="KX8" s="122"/>
      <c r="KY8" s="122"/>
      <c r="KZ8" s="122"/>
      <c r="LA8" s="122"/>
      <c r="LB8" s="122"/>
      <c r="LC8" s="122"/>
      <c r="LD8" s="122"/>
      <c r="LE8" s="122"/>
      <c r="LF8" s="122"/>
      <c r="LG8" s="122"/>
      <c r="LH8" s="122"/>
      <c r="LI8" s="122"/>
      <c r="LJ8" s="122"/>
      <c r="LK8" s="122"/>
      <c r="LL8" s="122"/>
      <c r="LM8" s="122"/>
      <c r="LN8" s="122"/>
      <c r="LO8" s="122"/>
      <c r="LP8" s="122"/>
    </row>
    <row r="9" spans="1:329" s="139" customFormat="1" ht="38.25">
      <c r="A9" s="128">
        <v>680027</v>
      </c>
      <c r="B9" s="129" t="str">
        <f>VLOOKUP($A9,'Indicadores Financeiros'!$A$107:$J$113,2,FALSE)</f>
        <v>Posto de vigilante diurno Líder - com almocista (repositor/repositora) - 12 horas - escala de 12X36 de segunda a domingo</v>
      </c>
      <c r="C9" s="129" t="str">
        <f>VLOOKUP($A9,'Indicadores Financeiros'!$A$107:$M$113,3,FALSE)</f>
        <v>Posto/Dia Líder</v>
      </c>
      <c r="D9" s="130">
        <f>VLOOKUP($A9,'Indicadores Financeiros'!$A$107:$M$113,6,FALSE)</f>
        <v>2</v>
      </c>
      <c r="E9" s="130">
        <f>VLOOKUP($A9,'Indicadores Financeiros'!$A$107:$J$113,7,FALSE)</f>
        <v>15.22</v>
      </c>
      <c r="F9" s="131">
        <f>IF(C9="Posto/Dia",INT(VLOOKUP($A9,'Indicadores Financeiros'!$A$107:$J$113,7,FALSE)*D9)+IF(C9="Posto/dia",1,0),0)</f>
        <v>0</v>
      </c>
      <c r="G9" s="132">
        <v>1</v>
      </c>
      <c r="H9" s="131">
        <f t="shared" si="0"/>
        <v>1</v>
      </c>
      <c r="I9" s="133">
        <f>VLOOKUP(A9,'Relatório Custo'!C:U,17)</f>
        <v>422.9</v>
      </c>
      <c r="J9" s="134">
        <f>VLOOKUP($C$1,Tabela3[[Município]:[BDI]],3,FALSE)</f>
        <v>0.2114</v>
      </c>
      <c r="K9" s="135">
        <f t="shared" si="2"/>
        <v>512.29999999999995</v>
      </c>
      <c r="L9" s="136">
        <f t="shared" si="1"/>
        <v>512.29999999999995</v>
      </c>
      <c r="M9" s="137"/>
      <c r="N9" s="138"/>
      <c r="O9" s="138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/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/>
      <c r="LK9" s="122"/>
      <c r="LL9" s="122"/>
      <c r="LM9" s="122"/>
      <c r="LN9" s="122"/>
      <c r="LO9" s="122"/>
      <c r="LP9" s="122"/>
    </row>
    <row r="10" spans="1:329" s="139" customFormat="1" ht="38.25">
      <c r="A10" s="128">
        <v>680028</v>
      </c>
      <c r="B10" s="129" t="str">
        <f>VLOOKUP($A10,'Indicadores Financeiros'!$A$107:$J$113,2,FALSE)</f>
        <v>Posto de vigilante diurno - com almocista (repositor/repositora) - 44 horas semanais - segunda a sexta-feira - com uso de arma de fogo</v>
      </c>
      <c r="C10" s="129" t="str">
        <f>VLOOKUP($A10,'Indicadores Financeiros'!$A$107:$M$113,3,FALSE)</f>
        <v>Posto/Dia</v>
      </c>
      <c r="D10" s="130">
        <f>VLOOKUP($A10,'Indicadores Financeiros'!$A$107:$M$113,6,FALSE)</f>
        <v>1</v>
      </c>
      <c r="E10" s="130">
        <f>VLOOKUP($A10,'Indicadores Financeiros'!$A$107:$J$113,7,FALSE)</f>
        <v>21</v>
      </c>
      <c r="F10" s="131">
        <f>IF(C10="Posto/Dia",INT(VLOOKUP($A10,'Indicadores Financeiros'!$A$107:$J$113,7,FALSE)*D10)+IF(C10="Posto/dia",1,0),0)</f>
        <v>22</v>
      </c>
      <c r="G10" s="132">
        <v>1</v>
      </c>
      <c r="H10" s="131">
        <f t="shared" ref="H10" si="3">IF(C10="Posto/Dia",F10*G10,G10)</f>
        <v>22</v>
      </c>
      <c r="I10" s="133">
        <f>VLOOKUP(A10,'Relatório Custo'!C:U,17)</f>
        <v>312.44</v>
      </c>
      <c r="J10" s="134">
        <f>VLOOKUP($C$1,Tabela3[[Município]:[BDI]],3,FALSE)</f>
        <v>0.2114</v>
      </c>
      <c r="K10" s="135">
        <f t="shared" ref="K10" si="4">ROUND(I10*(1+J10),2)</f>
        <v>378.49</v>
      </c>
      <c r="L10" s="136">
        <f t="shared" ref="L10" si="5">IF(C10="Posto/Dia",IFERROR(ROUND(H10*K10,2),0),H10*K10)</f>
        <v>8326.7800000000007</v>
      </c>
      <c r="M10" s="137"/>
      <c r="N10" s="138"/>
      <c r="O10" s="138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22"/>
      <c r="LK10" s="122"/>
      <c r="LL10" s="122"/>
      <c r="LM10" s="122"/>
      <c r="LN10" s="122"/>
      <c r="LO10" s="122"/>
      <c r="LP10" s="122"/>
    </row>
    <row r="11" spans="1:329" s="122" customFormat="1">
      <c r="H11" s="140"/>
      <c r="I11" s="140"/>
      <c r="J11" s="141"/>
    </row>
    <row r="12" spans="1:329" s="122" customFormat="1">
      <c r="H12" s="140"/>
      <c r="I12" s="140"/>
      <c r="J12" s="141"/>
    </row>
    <row r="13" spans="1:329" s="122" customFormat="1">
      <c r="H13" s="140"/>
      <c r="I13" s="140"/>
      <c r="J13" s="141"/>
    </row>
    <row r="14" spans="1:329" s="122" customFormat="1">
      <c r="H14" s="140"/>
      <c r="I14" s="140"/>
      <c r="J14" s="141"/>
    </row>
    <row r="15" spans="1:329" s="122" customFormat="1">
      <c r="H15" s="140"/>
      <c r="I15" s="140"/>
      <c r="J15" s="141"/>
    </row>
    <row r="16" spans="1:329" s="122" customFormat="1">
      <c r="H16" s="140"/>
      <c r="I16" s="140"/>
      <c r="J16" s="141"/>
    </row>
    <row r="17" spans="8:10" s="122" customFormat="1">
      <c r="H17" s="140"/>
      <c r="I17" s="140"/>
      <c r="J17" s="141"/>
    </row>
    <row r="18" spans="8:10" s="122" customFormat="1">
      <c r="H18" s="140"/>
      <c r="I18" s="140"/>
      <c r="J18" s="141"/>
    </row>
    <row r="19" spans="8:10" s="122" customFormat="1">
      <c r="H19" s="140"/>
      <c r="I19" s="140"/>
      <c r="J19" s="141"/>
    </row>
    <row r="20" spans="8:10" s="122" customFormat="1">
      <c r="H20" s="140"/>
      <c r="I20" s="140"/>
      <c r="J20" s="141"/>
    </row>
    <row r="21" spans="8:10" s="122" customFormat="1">
      <c r="H21" s="140"/>
      <c r="I21" s="140"/>
      <c r="J21" s="141"/>
    </row>
    <row r="22" spans="8:10" s="122" customFormat="1">
      <c r="H22" s="140"/>
      <c r="I22" s="140"/>
      <c r="J22" s="141"/>
    </row>
    <row r="23" spans="8:10" s="122" customFormat="1">
      <c r="H23" s="140"/>
      <c r="I23" s="140"/>
      <c r="J23" s="141"/>
    </row>
    <row r="24" spans="8:10" s="122" customFormat="1">
      <c r="H24" s="140"/>
      <c r="I24" s="140"/>
      <c r="J24" s="141"/>
    </row>
    <row r="25" spans="8:10" s="122" customFormat="1">
      <c r="H25" s="140"/>
      <c r="I25" s="140"/>
      <c r="J25" s="141"/>
    </row>
    <row r="26" spans="8:10" s="122" customFormat="1">
      <c r="H26" s="140"/>
      <c r="I26" s="140"/>
      <c r="J26" s="141"/>
    </row>
    <row r="27" spans="8:10" s="122" customFormat="1">
      <c r="H27" s="140"/>
      <c r="I27" s="140"/>
      <c r="J27" s="141"/>
    </row>
    <row r="28" spans="8:10" s="122" customFormat="1">
      <c r="H28" s="140"/>
      <c r="I28" s="140"/>
      <c r="J28" s="141"/>
    </row>
    <row r="29" spans="8:10" s="122" customFormat="1">
      <c r="H29" s="140"/>
      <c r="I29" s="140"/>
      <c r="J29" s="141"/>
    </row>
    <row r="30" spans="8:10" s="122" customFormat="1">
      <c r="H30" s="140"/>
      <c r="I30" s="140"/>
      <c r="J30" s="141"/>
    </row>
    <row r="31" spans="8:10" s="122" customFormat="1">
      <c r="H31" s="140"/>
      <c r="I31" s="140"/>
      <c r="J31" s="141"/>
    </row>
    <row r="32" spans="8:10" s="122" customFormat="1">
      <c r="H32" s="140"/>
      <c r="I32" s="140"/>
      <c r="J32" s="141"/>
    </row>
    <row r="33" spans="8:10" s="122" customFormat="1">
      <c r="H33" s="140"/>
      <c r="I33" s="140"/>
      <c r="J33" s="141"/>
    </row>
    <row r="34" spans="8:10" s="122" customFormat="1">
      <c r="H34" s="140"/>
      <c r="I34" s="140"/>
      <c r="J34" s="141"/>
    </row>
    <row r="35" spans="8:10" s="122" customFormat="1">
      <c r="H35" s="140"/>
      <c r="I35" s="140"/>
      <c r="J35" s="141"/>
    </row>
    <row r="36" spans="8:10" s="122" customFormat="1">
      <c r="H36" s="140"/>
      <c r="I36" s="140"/>
      <c r="J36" s="141"/>
    </row>
    <row r="37" spans="8:10" s="122" customFormat="1">
      <c r="H37" s="140"/>
      <c r="I37" s="140"/>
      <c r="J37" s="141"/>
    </row>
    <row r="38" spans="8:10" s="122" customFormat="1">
      <c r="H38" s="140"/>
      <c r="I38" s="140"/>
      <c r="J38" s="141"/>
    </row>
    <row r="39" spans="8:10" s="122" customFormat="1">
      <c r="H39" s="140"/>
      <c r="I39" s="140"/>
      <c r="J39" s="141"/>
    </row>
    <row r="40" spans="8:10" s="122" customFormat="1">
      <c r="H40" s="140"/>
      <c r="I40" s="140"/>
      <c r="J40" s="141"/>
    </row>
    <row r="41" spans="8:10" s="122" customFormat="1">
      <c r="H41" s="140"/>
      <c r="I41" s="140"/>
      <c r="J41" s="141"/>
    </row>
    <row r="42" spans="8:10" s="122" customFormat="1">
      <c r="H42" s="140"/>
      <c r="I42" s="140"/>
      <c r="J42" s="141"/>
    </row>
    <row r="43" spans="8:10" s="122" customFormat="1">
      <c r="H43" s="140"/>
      <c r="I43" s="140"/>
      <c r="J43" s="141"/>
    </row>
    <row r="44" spans="8:10" s="122" customFormat="1">
      <c r="H44" s="140"/>
      <c r="I44" s="140"/>
      <c r="J44" s="141"/>
    </row>
    <row r="45" spans="8:10" s="122" customFormat="1">
      <c r="H45" s="140"/>
      <c r="I45" s="140"/>
      <c r="J45" s="141"/>
    </row>
    <row r="46" spans="8:10" s="122" customFormat="1">
      <c r="H46" s="140"/>
      <c r="I46" s="140"/>
      <c r="J46" s="141"/>
    </row>
    <row r="47" spans="8:10" s="122" customFormat="1">
      <c r="H47" s="140"/>
      <c r="I47" s="140"/>
      <c r="J47" s="141"/>
    </row>
    <row r="48" spans="8:10" s="122" customFormat="1">
      <c r="H48" s="140"/>
      <c r="I48" s="140"/>
      <c r="J48" s="141"/>
    </row>
    <row r="49" spans="8:10" s="122" customFormat="1">
      <c r="H49" s="140"/>
      <c r="I49" s="140"/>
      <c r="J49" s="141"/>
    </row>
    <row r="50" spans="8:10" s="122" customFormat="1">
      <c r="H50" s="140"/>
      <c r="I50" s="140"/>
      <c r="J50" s="141"/>
    </row>
    <row r="51" spans="8:10" s="122" customFormat="1">
      <c r="H51" s="140"/>
      <c r="I51" s="140"/>
      <c r="J51" s="141"/>
    </row>
    <row r="52" spans="8:10" s="122" customFormat="1">
      <c r="H52" s="140"/>
      <c r="I52" s="140"/>
      <c r="J52" s="141"/>
    </row>
    <row r="53" spans="8:10" s="122" customFormat="1">
      <c r="H53" s="140"/>
      <c r="I53" s="140"/>
      <c r="J53" s="141"/>
    </row>
    <row r="54" spans="8:10" s="122" customFormat="1">
      <c r="H54" s="140"/>
      <c r="I54" s="140"/>
      <c r="J54" s="141"/>
    </row>
    <row r="55" spans="8:10" s="122" customFormat="1">
      <c r="H55" s="140"/>
      <c r="I55" s="140"/>
      <c r="J55" s="141"/>
    </row>
    <row r="56" spans="8:10" s="122" customFormat="1">
      <c r="H56" s="140"/>
      <c r="I56" s="140"/>
      <c r="J56" s="141"/>
    </row>
    <row r="57" spans="8:10" s="122" customFormat="1">
      <c r="H57" s="140"/>
      <c r="I57" s="140"/>
      <c r="J57" s="141"/>
    </row>
    <row r="58" spans="8:10" s="122" customFormat="1">
      <c r="H58" s="140"/>
      <c r="I58" s="140"/>
      <c r="J58" s="141"/>
    </row>
    <row r="59" spans="8:10" s="122" customFormat="1">
      <c r="H59" s="140"/>
      <c r="I59" s="140"/>
      <c r="J59" s="141"/>
    </row>
    <row r="60" spans="8:10" s="122" customFormat="1">
      <c r="H60" s="140"/>
      <c r="I60" s="140"/>
      <c r="J60" s="141"/>
    </row>
    <row r="61" spans="8:10" s="122" customFormat="1">
      <c r="H61" s="140"/>
      <c r="I61" s="140"/>
      <c r="J61" s="141"/>
    </row>
    <row r="62" spans="8:10" s="122" customFormat="1">
      <c r="H62" s="140"/>
      <c r="I62" s="140"/>
      <c r="J62" s="141"/>
    </row>
    <row r="63" spans="8:10" s="122" customFormat="1">
      <c r="H63" s="140"/>
      <c r="I63" s="140"/>
      <c r="J63" s="141"/>
    </row>
    <row r="64" spans="8:10" s="122" customFormat="1">
      <c r="H64" s="140"/>
      <c r="I64" s="140"/>
      <c r="J64" s="141"/>
    </row>
    <row r="65" spans="8:10" s="122" customFormat="1">
      <c r="H65" s="140"/>
      <c r="I65" s="140"/>
      <c r="J65" s="141"/>
    </row>
    <row r="66" spans="8:10" s="122" customFormat="1">
      <c r="H66" s="140"/>
      <c r="I66" s="140"/>
      <c r="J66" s="141"/>
    </row>
    <row r="67" spans="8:10" s="122" customFormat="1">
      <c r="H67" s="140"/>
      <c r="I67" s="140"/>
      <c r="J67" s="141"/>
    </row>
    <row r="68" spans="8:10" s="122" customFormat="1">
      <c r="H68" s="140"/>
      <c r="I68" s="140"/>
      <c r="J68" s="141"/>
    </row>
    <row r="69" spans="8:10" s="122" customFormat="1">
      <c r="H69" s="140"/>
      <c r="I69" s="140"/>
      <c r="J69" s="141"/>
    </row>
    <row r="70" spans="8:10" s="122" customFormat="1">
      <c r="H70" s="140"/>
      <c r="I70" s="140"/>
      <c r="J70" s="141"/>
    </row>
    <row r="71" spans="8:10" s="122" customFormat="1">
      <c r="H71" s="140"/>
      <c r="I71" s="140"/>
      <c r="J71" s="141"/>
    </row>
    <row r="72" spans="8:10" s="122" customFormat="1">
      <c r="H72" s="140"/>
      <c r="I72" s="140"/>
      <c r="J72" s="141"/>
    </row>
    <row r="73" spans="8:10" s="122" customFormat="1">
      <c r="H73" s="140"/>
      <c r="I73" s="140"/>
      <c r="J73" s="141"/>
    </row>
    <row r="74" spans="8:10" s="122" customFormat="1">
      <c r="H74" s="140"/>
      <c r="I74" s="140"/>
      <c r="J74" s="141"/>
    </row>
    <row r="75" spans="8:10" s="122" customFormat="1">
      <c r="H75" s="140"/>
      <c r="I75" s="140"/>
      <c r="J75" s="141"/>
    </row>
    <row r="76" spans="8:10" s="122" customFormat="1">
      <c r="H76" s="140"/>
      <c r="I76" s="140"/>
      <c r="J76" s="141"/>
    </row>
    <row r="77" spans="8:10" s="122" customFormat="1">
      <c r="H77" s="140"/>
      <c r="I77" s="140"/>
      <c r="J77" s="141"/>
    </row>
    <row r="78" spans="8:10" s="122" customFormat="1">
      <c r="H78" s="140"/>
      <c r="I78" s="140"/>
      <c r="J78" s="141"/>
    </row>
    <row r="79" spans="8:10" s="122" customFormat="1">
      <c r="H79" s="140"/>
      <c r="I79" s="140"/>
      <c r="J79" s="141"/>
    </row>
    <row r="80" spans="8:10" s="122" customFormat="1">
      <c r="H80" s="140"/>
      <c r="I80" s="140"/>
      <c r="J80" s="141"/>
    </row>
    <row r="81" spans="8:10" s="122" customFormat="1">
      <c r="H81" s="140"/>
      <c r="I81" s="140"/>
      <c r="J81" s="141"/>
    </row>
    <row r="82" spans="8:10" s="122" customFormat="1">
      <c r="H82" s="140"/>
      <c r="I82" s="140"/>
      <c r="J82" s="141"/>
    </row>
    <row r="83" spans="8:10" s="122" customFormat="1">
      <c r="H83" s="140"/>
      <c r="I83" s="140"/>
      <c r="J83" s="141"/>
    </row>
    <row r="84" spans="8:10" s="122" customFormat="1">
      <c r="H84" s="140"/>
      <c r="I84" s="140"/>
      <c r="J84" s="141"/>
    </row>
    <row r="85" spans="8:10" s="122" customFormat="1">
      <c r="H85" s="140"/>
      <c r="I85" s="140"/>
      <c r="J85" s="141"/>
    </row>
    <row r="86" spans="8:10" s="122" customFormat="1">
      <c r="H86" s="140"/>
      <c r="I86" s="140"/>
      <c r="J86" s="141"/>
    </row>
    <row r="87" spans="8:10" s="122" customFormat="1">
      <c r="H87" s="140"/>
      <c r="I87" s="140"/>
      <c r="J87" s="141"/>
    </row>
    <row r="88" spans="8:10" s="122" customFormat="1">
      <c r="H88" s="140"/>
      <c r="I88" s="140"/>
      <c r="J88" s="141"/>
    </row>
    <row r="89" spans="8:10" s="122" customFormat="1">
      <c r="H89" s="140"/>
      <c r="I89" s="140"/>
      <c r="J89" s="141"/>
    </row>
    <row r="90" spans="8:10" s="122" customFormat="1">
      <c r="H90" s="140"/>
      <c r="I90" s="140"/>
      <c r="J90" s="141"/>
    </row>
    <row r="91" spans="8:10" s="122" customFormat="1">
      <c r="H91" s="140"/>
      <c r="I91" s="140"/>
      <c r="J91" s="141"/>
    </row>
    <row r="92" spans="8:10" s="122" customFormat="1">
      <c r="H92" s="140"/>
      <c r="I92" s="140"/>
      <c r="J92" s="141"/>
    </row>
    <row r="93" spans="8:10" s="122" customFormat="1">
      <c r="H93" s="140"/>
      <c r="I93" s="140"/>
      <c r="J93" s="141"/>
    </row>
    <row r="94" spans="8:10" s="122" customFormat="1">
      <c r="H94" s="140"/>
      <c r="I94" s="140"/>
      <c r="J94" s="141"/>
    </row>
    <row r="95" spans="8:10" s="122" customFormat="1">
      <c r="H95" s="140"/>
      <c r="I95" s="140"/>
      <c r="J95" s="141"/>
    </row>
    <row r="96" spans="8:10" s="122" customFormat="1">
      <c r="H96" s="140"/>
      <c r="I96" s="140"/>
      <c r="J96" s="141"/>
    </row>
    <row r="97" spans="8:10" s="122" customFormat="1">
      <c r="H97" s="140"/>
      <c r="I97" s="140"/>
      <c r="J97" s="141"/>
    </row>
    <row r="98" spans="8:10" s="122" customFormat="1">
      <c r="H98" s="140"/>
      <c r="I98" s="140"/>
      <c r="J98" s="141"/>
    </row>
    <row r="99" spans="8:10" s="122" customFormat="1">
      <c r="H99" s="140"/>
      <c r="I99" s="140"/>
      <c r="J99" s="141"/>
    </row>
    <row r="100" spans="8:10" s="122" customFormat="1">
      <c r="H100" s="140"/>
      <c r="I100" s="140"/>
      <c r="J100" s="141"/>
    </row>
    <row r="101" spans="8:10" s="122" customFormat="1">
      <c r="H101" s="140"/>
      <c r="I101" s="140"/>
      <c r="J101" s="141"/>
    </row>
    <row r="102" spans="8:10" s="122" customFormat="1">
      <c r="H102" s="140"/>
      <c r="I102" s="140"/>
      <c r="J102" s="141"/>
    </row>
    <row r="103" spans="8:10" s="122" customFormat="1">
      <c r="H103" s="140"/>
      <c r="I103" s="140"/>
      <c r="J103" s="141"/>
    </row>
    <row r="104" spans="8:10" s="122" customFormat="1">
      <c r="H104" s="140"/>
      <c r="I104" s="140"/>
      <c r="J104" s="141"/>
    </row>
    <row r="105" spans="8:10" s="122" customFormat="1">
      <c r="H105" s="140"/>
      <c r="I105" s="140"/>
      <c r="J105" s="141"/>
    </row>
    <row r="106" spans="8:10" s="122" customFormat="1">
      <c r="H106" s="140"/>
      <c r="I106" s="140"/>
      <c r="J106" s="141"/>
    </row>
    <row r="107" spans="8:10" s="122" customFormat="1">
      <c r="H107" s="140"/>
      <c r="I107" s="140"/>
      <c r="J107" s="141"/>
    </row>
    <row r="108" spans="8:10" s="122" customFormat="1">
      <c r="H108" s="140"/>
      <c r="I108" s="140"/>
      <c r="J108" s="141"/>
    </row>
    <row r="109" spans="8:10" s="122" customFormat="1">
      <c r="H109" s="140"/>
      <c r="I109" s="140"/>
      <c r="J109" s="141"/>
    </row>
    <row r="110" spans="8:10" s="122" customFormat="1">
      <c r="H110" s="140"/>
      <c r="I110" s="140"/>
      <c r="J110" s="141"/>
    </row>
    <row r="111" spans="8:10" s="122" customFormat="1">
      <c r="H111" s="140"/>
      <c r="I111" s="140"/>
      <c r="J111" s="141"/>
    </row>
    <row r="112" spans="8:10" s="122" customFormat="1">
      <c r="H112" s="140"/>
      <c r="I112" s="140"/>
      <c r="J112" s="141"/>
    </row>
    <row r="113" spans="8:10" s="122" customFormat="1">
      <c r="H113" s="140"/>
      <c r="I113" s="140"/>
      <c r="J113" s="141"/>
    </row>
    <row r="114" spans="8:10" s="122" customFormat="1">
      <c r="H114" s="140"/>
      <c r="I114" s="140"/>
      <c r="J114" s="141"/>
    </row>
    <row r="115" spans="8:10" s="122" customFormat="1">
      <c r="H115" s="140"/>
      <c r="I115" s="140"/>
      <c r="J115" s="141"/>
    </row>
    <row r="116" spans="8:10" s="122" customFormat="1">
      <c r="H116" s="140"/>
      <c r="I116" s="140"/>
      <c r="J116" s="141"/>
    </row>
    <row r="117" spans="8:10" s="122" customFormat="1">
      <c r="H117" s="140"/>
      <c r="I117" s="140"/>
      <c r="J117" s="141"/>
    </row>
    <row r="118" spans="8:10" s="122" customFormat="1">
      <c r="H118" s="140"/>
      <c r="I118" s="140"/>
      <c r="J118" s="141"/>
    </row>
    <row r="119" spans="8:10" s="122" customFormat="1">
      <c r="H119" s="140"/>
      <c r="I119" s="140"/>
      <c r="J119" s="141"/>
    </row>
    <row r="120" spans="8:10" s="122" customFormat="1">
      <c r="H120" s="140"/>
      <c r="I120" s="140"/>
      <c r="J120" s="141"/>
    </row>
    <row r="121" spans="8:10" s="122" customFormat="1">
      <c r="H121" s="140"/>
      <c r="I121" s="140"/>
      <c r="J121" s="141"/>
    </row>
    <row r="122" spans="8:10" s="122" customFormat="1">
      <c r="H122" s="140"/>
      <c r="I122" s="140"/>
      <c r="J122" s="141"/>
    </row>
    <row r="123" spans="8:10" s="122" customFormat="1">
      <c r="H123" s="140"/>
      <c r="I123" s="140"/>
      <c r="J123" s="141"/>
    </row>
    <row r="124" spans="8:10" s="122" customFormat="1">
      <c r="H124" s="140"/>
      <c r="I124" s="140"/>
      <c r="J124" s="141"/>
    </row>
    <row r="125" spans="8:10" s="122" customFormat="1">
      <c r="H125" s="140"/>
      <c r="I125" s="140"/>
      <c r="J125" s="141"/>
    </row>
    <row r="126" spans="8:10" s="122" customFormat="1">
      <c r="H126" s="140"/>
      <c r="I126" s="140"/>
      <c r="J126" s="141"/>
    </row>
    <row r="127" spans="8:10" s="122" customFormat="1">
      <c r="H127" s="140"/>
      <c r="I127" s="140"/>
      <c r="J127" s="141"/>
    </row>
    <row r="128" spans="8:10" s="122" customFormat="1">
      <c r="H128" s="140"/>
      <c r="I128" s="140"/>
      <c r="J128" s="141"/>
    </row>
    <row r="129" spans="8:10" s="122" customFormat="1">
      <c r="H129" s="140"/>
      <c r="I129" s="140"/>
      <c r="J129" s="141"/>
    </row>
    <row r="130" spans="8:10" s="122" customFormat="1">
      <c r="H130" s="140"/>
      <c r="I130" s="140"/>
      <c r="J130" s="141"/>
    </row>
    <row r="131" spans="8:10" s="122" customFormat="1">
      <c r="H131" s="140"/>
      <c r="I131" s="140"/>
      <c r="J131" s="141"/>
    </row>
    <row r="132" spans="8:10" s="122" customFormat="1">
      <c r="H132" s="140"/>
      <c r="I132" s="140"/>
      <c r="J132" s="141"/>
    </row>
    <row r="133" spans="8:10" s="122" customFormat="1">
      <c r="H133" s="140"/>
      <c r="I133" s="140"/>
      <c r="J133" s="141"/>
    </row>
    <row r="134" spans="8:10" s="122" customFormat="1">
      <c r="H134" s="140"/>
      <c r="I134" s="140"/>
      <c r="J134" s="141"/>
    </row>
    <row r="135" spans="8:10" s="122" customFormat="1">
      <c r="H135" s="140"/>
      <c r="I135" s="140"/>
      <c r="J135" s="141"/>
    </row>
    <row r="136" spans="8:10" s="122" customFormat="1">
      <c r="H136" s="140"/>
      <c r="I136" s="140"/>
      <c r="J136" s="141"/>
    </row>
    <row r="137" spans="8:10" s="122" customFormat="1">
      <c r="H137" s="140"/>
      <c r="I137" s="140"/>
      <c r="J137" s="141"/>
    </row>
    <row r="138" spans="8:10" s="122" customFormat="1">
      <c r="H138" s="140"/>
      <c r="I138" s="140"/>
      <c r="J138" s="141"/>
    </row>
    <row r="139" spans="8:10" s="122" customFormat="1">
      <c r="H139" s="140"/>
      <c r="I139" s="140"/>
      <c r="J139" s="141"/>
    </row>
    <row r="140" spans="8:10" s="122" customFormat="1">
      <c r="H140" s="140"/>
      <c r="I140" s="140"/>
      <c r="J140" s="141"/>
    </row>
    <row r="141" spans="8:10" s="122" customFormat="1">
      <c r="H141" s="140"/>
      <c r="I141" s="140"/>
      <c r="J141" s="141"/>
    </row>
    <row r="142" spans="8:10" s="122" customFormat="1">
      <c r="H142" s="140"/>
      <c r="I142" s="140"/>
      <c r="J142" s="141"/>
    </row>
    <row r="143" spans="8:10" s="122" customFormat="1">
      <c r="H143" s="140"/>
      <c r="I143" s="140"/>
      <c r="J143" s="141"/>
    </row>
    <row r="144" spans="8:10" s="122" customFormat="1">
      <c r="H144" s="140"/>
      <c r="I144" s="140"/>
      <c r="J144" s="141"/>
    </row>
    <row r="145" spans="8:10" s="122" customFormat="1">
      <c r="H145" s="140"/>
      <c r="I145" s="140"/>
      <c r="J145" s="141"/>
    </row>
    <row r="146" spans="8:10" s="122" customFormat="1">
      <c r="H146" s="140"/>
      <c r="I146" s="140"/>
      <c r="J146" s="141"/>
    </row>
    <row r="147" spans="8:10" s="122" customFormat="1">
      <c r="H147" s="140"/>
      <c r="I147" s="140"/>
      <c r="J147" s="141"/>
    </row>
    <row r="148" spans="8:10" s="122" customFormat="1">
      <c r="H148" s="140"/>
      <c r="I148" s="140"/>
      <c r="J148" s="141"/>
    </row>
    <row r="149" spans="8:10" s="122" customFormat="1">
      <c r="H149" s="140"/>
      <c r="I149" s="140"/>
      <c r="J149" s="141"/>
    </row>
    <row r="150" spans="8:10" s="122" customFormat="1">
      <c r="H150" s="140"/>
      <c r="I150" s="140"/>
      <c r="J150" s="141"/>
    </row>
    <row r="151" spans="8:10" s="122" customFormat="1">
      <c r="H151" s="140"/>
      <c r="I151" s="140"/>
      <c r="J151" s="141"/>
    </row>
    <row r="152" spans="8:10" s="122" customFormat="1">
      <c r="H152" s="140"/>
      <c r="I152" s="140"/>
      <c r="J152" s="141"/>
    </row>
    <row r="153" spans="8:10" s="122" customFormat="1">
      <c r="H153" s="140"/>
      <c r="I153" s="140"/>
      <c r="J153" s="141"/>
    </row>
    <row r="154" spans="8:10" s="122" customFormat="1">
      <c r="H154" s="140"/>
      <c r="I154" s="140"/>
      <c r="J154" s="141"/>
    </row>
    <row r="155" spans="8:10" s="122" customFormat="1">
      <c r="H155" s="140"/>
      <c r="I155" s="140"/>
      <c r="J155" s="141"/>
    </row>
    <row r="156" spans="8:10" s="122" customFormat="1">
      <c r="H156" s="140"/>
      <c r="I156" s="140"/>
      <c r="J156" s="141"/>
    </row>
    <row r="157" spans="8:10" s="122" customFormat="1">
      <c r="H157" s="140"/>
      <c r="I157" s="140"/>
      <c r="J157" s="141"/>
    </row>
    <row r="158" spans="8:10" s="122" customFormat="1">
      <c r="H158" s="140"/>
      <c r="I158" s="140"/>
      <c r="J158" s="141"/>
    </row>
    <row r="159" spans="8:10" s="122" customFormat="1">
      <c r="H159" s="140"/>
      <c r="I159" s="140"/>
      <c r="J159" s="141"/>
    </row>
    <row r="160" spans="8:10" s="122" customFormat="1">
      <c r="H160" s="140"/>
      <c r="I160" s="140"/>
      <c r="J160" s="141"/>
    </row>
    <row r="161" spans="8:10" s="122" customFormat="1">
      <c r="H161" s="140"/>
      <c r="I161" s="140"/>
      <c r="J161" s="141"/>
    </row>
    <row r="162" spans="8:10" s="122" customFormat="1">
      <c r="H162" s="140"/>
      <c r="I162" s="140"/>
      <c r="J162" s="141"/>
    </row>
    <row r="163" spans="8:10" s="122" customFormat="1">
      <c r="H163" s="140"/>
      <c r="I163" s="140"/>
      <c r="J163" s="141"/>
    </row>
    <row r="164" spans="8:10" s="122" customFormat="1">
      <c r="H164" s="140"/>
      <c r="I164" s="140"/>
      <c r="J164" s="141"/>
    </row>
    <row r="165" spans="8:10" s="122" customFormat="1">
      <c r="H165" s="140"/>
      <c r="I165" s="140"/>
      <c r="J165" s="141"/>
    </row>
    <row r="166" spans="8:10" s="122" customFormat="1">
      <c r="H166" s="140"/>
      <c r="I166" s="140"/>
      <c r="J166" s="141"/>
    </row>
    <row r="167" spans="8:10" s="122" customFormat="1">
      <c r="H167" s="140"/>
      <c r="I167" s="140"/>
      <c r="J167" s="141"/>
    </row>
    <row r="168" spans="8:10" s="122" customFormat="1">
      <c r="H168" s="140"/>
      <c r="I168" s="140"/>
      <c r="J168" s="141"/>
    </row>
    <row r="169" spans="8:10" s="122" customFormat="1">
      <c r="H169" s="140"/>
      <c r="I169" s="140"/>
      <c r="J169" s="141"/>
    </row>
    <row r="170" spans="8:10" s="122" customFormat="1">
      <c r="H170" s="140"/>
      <c r="I170" s="140"/>
      <c r="J170" s="141"/>
    </row>
    <row r="171" spans="8:10" s="122" customFormat="1">
      <c r="H171" s="140"/>
      <c r="I171" s="140"/>
      <c r="J171" s="141"/>
    </row>
    <row r="172" spans="8:10" s="122" customFormat="1">
      <c r="H172" s="140"/>
      <c r="I172" s="140"/>
      <c r="J172" s="141"/>
    </row>
    <row r="173" spans="8:10" s="122" customFormat="1">
      <c r="H173" s="140"/>
      <c r="I173" s="140"/>
      <c r="J173" s="141"/>
    </row>
    <row r="174" spans="8:10" s="122" customFormat="1">
      <c r="H174" s="140"/>
      <c r="I174" s="140"/>
      <c r="J174" s="141"/>
    </row>
    <row r="175" spans="8:10" s="122" customFormat="1">
      <c r="H175" s="140"/>
      <c r="I175" s="140"/>
      <c r="J175" s="141"/>
    </row>
    <row r="176" spans="8:10" s="122" customFormat="1">
      <c r="H176" s="140"/>
      <c r="I176" s="140"/>
      <c r="J176" s="141"/>
    </row>
    <row r="177" spans="8:10" s="122" customFormat="1">
      <c r="H177" s="140"/>
      <c r="I177" s="140"/>
      <c r="J177" s="141"/>
    </row>
    <row r="178" spans="8:10" s="122" customFormat="1">
      <c r="H178" s="140"/>
      <c r="I178" s="140"/>
      <c r="J178" s="141"/>
    </row>
    <row r="179" spans="8:10" s="122" customFormat="1">
      <c r="H179" s="140"/>
      <c r="I179" s="140"/>
      <c r="J179" s="141"/>
    </row>
    <row r="180" spans="8:10" s="122" customFormat="1">
      <c r="H180" s="140"/>
      <c r="I180" s="140"/>
      <c r="J180" s="141"/>
    </row>
    <row r="181" spans="8:10" s="122" customFormat="1">
      <c r="H181" s="140"/>
      <c r="I181" s="140"/>
      <c r="J181" s="141"/>
    </row>
    <row r="182" spans="8:10" s="122" customFormat="1">
      <c r="H182" s="140"/>
      <c r="I182" s="140"/>
      <c r="J182" s="141"/>
    </row>
    <row r="183" spans="8:10" s="122" customFormat="1">
      <c r="H183" s="140"/>
      <c r="I183" s="140"/>
      <c r="J183" s="141"/>
    </row>
    <row r="184" spans="8:10" s="122" customFormat="1">
      <c r="H184" s="140"/>
      <c r="I184" s="140"/>
      <c r="J184" s="141"/>
    </row>
    <row r="185" spans="8:10" s="122" customFormat="1">
      <c r="H185" s="140"/>
      <c r="I185" s="140"/>
      <c r="J185" s="141"/>
    </row>
    <row r="186" spans="8:10" s="122" customFormat="1">
      <c r="H186" s="140"/>
      <c r="I186" s="140"/>
      <c r="J186" s="141"/>
    </row>
    <row r="187" spans="8:10" s="122" customFormat="1">
      <c r="H187" s="140"/>
      <c r="I187" s="140"/>
      <c r="J187" s="141"/>
    </row>
    <row r="188" spans="8:10" s="122" customFormat="1">
      <c r="H188" s="140"/>
      <c r="I188" s="140"/>
      <c r="J188" s="141"/>
    </row>
    <row r="189" spans="8:10" s="122" customFormat="1">
      <c r="H189" s="140"/>
      <c r="I189" s="140"/>
      <c r="J189" s="141"/>
    </row>
    <row r="190" spans="8:10" s="122" customFormat="1">
      <c r="H190" s="140"/>
      <c r="I190" s="140"/>
      <c r="J190" s="141"/>
    </row>
    <row r="191" spans="8:10" s="122" customFormat="1">
      <c r="H191" s="140"/>
      <c r="I191" s="140"/>
      <c r="J191" s="141"/>
    </row>
    <row r="192" spans="8:10" s="122" customFormat="1">
      <c r="H192" s="140"/>
      <c r="I192" s="140"/>
      <c r="J192" s="141"/>
    </row>
    <row r="193" spans="8:10" s="122" customFormat="1">
      <c r="H193" s="140"/>
      <c r="I193" s="140"/>
      <c r="J193" s="141"/>
    </row>
    <row r="194" spans="8:10" s="122" customFormat="1">
      <c r="H194" s="140"/>
      <c r="I194" s="140"/>
      <c r="J194" s="141"/>
    </row>
    <row r="195" spans="8:10" s="122" customFormat="1">
      <c r="H195" s="140"/>
      <c r="I195" s="140"/>
      <c r="J195" s="141"/>
    </row>
    <row r="196" spans="8:10" s="122" customFormat="1">
      <c r="H196" s="140"/>
      <c r="I196" s="140"/>
      <c r="J196" s="141"/>
    </row>
    <row r="197" spans="8:10" s="122" customFormat="1">
      <c r="H197" s="140"/>
      <c r="I197" s="140"/>
      <c r="J197" s="141"/>
    </row>
    <row r="198" spans="8:10" s="122" customFormat="1">
      <c r="H198" s="140"/>
      <c r="I198" s="140"/>
      <c r="J198" s="141"/>
    </row>
    <row r="199" spans="8:10" s="122" customFormat="1">
      <c r="H199" s="140"/>
      <c r="I199" s="140"/>
      <c r="J199" s="141"/>
    </row>
    <row r="200" spans="8:10" s="122" customFormat="1">
      <c r="H200" s="140"/>
      <c r="I200" s="140"/>
      <c r="J200" s="141"/>
    </row>
    <row r="201" spans="8:10" s="122" customFormat="1">
      <c r="H201" s="140"/>
      <c r="I201" s="140"/>
      <c r="J201" s="141"/>
    </row>
    <row r="202" spans="8:10" s="122" customFormat="1">
      <c r="H202" s="140"/>
      <c r="I202" s="140"/>
      <c r="J202" s="141"/>
    </row>
    <row r="203" spans="8:10" s="122" customFormat="1">
      <c r="H203" s="140"/>
      <c r="I203" s="140"/>
      <c r="J203" s="141"/>
    </row>
    <row r="204" spans="8:10" s="122" customFormat="1">
      <c r="H204" s="140"/>
      <c r="I204" s="140"/>
      <c r="J204" s="141"/>
    </row>
    <row r="205" spans="8:10" s="122" customFormat="1">
      <c r="H205" s="140"/>
      <c r="I205" s="140"/>
      <c r="J205" s="141"/>
    </row>
    <row r="206" spans="8:10" s="122" customFormat="1">
      <c r="H206" s="140"/>
      <c r="I206" s="140"/>
      <c r="J206" s="141"/>
    </row>
    <row r="207" spans="8:10" s="122" customFormat="1">
      <c r="H207" s="140"/>
      <c r="I207" s="140"/>
      <c r="J207" s="141"/>
    </row>
    <row r="208" spans="8:10" s="122" customFormat="1">
      <c r="H208" s="140"/>
      <c r="I208" s="140"/>
      <c r="J208" s="141"/>
    </row>
    <row r="209" spans="8:10" s="122" customFormat="1">
      <c r="H209" s="140"/>
      <c r="I209" s="140"/>
      <c r="J209" s="141"/>
    </row>
    <row r="210" spans="8:10" s="122" customFormat="1">
      <c r="H210" s="140"/>
      <c r="I210" s="140"/>
      <c r="J210" s="141"/>
    </row>
    <row r="211" spans="8:10" s="122" customFormat="1">
      <c r="H211" s="140"/>
      <c r="I211" s="140"/>
      <c r="J211" s="141"/>
    </row>
    <row r="212" spans="8:10" s="122" customFormat="1">
      <c r="H212" s="140"/>
      <c r="I212" s="140"/>
      <c r="J212" s="141"/>
    </row>
    <row r="213" spans="8:10" s="122" customFormat="1">
      <c r="H213" s="140"/>
      <c r="I213" s="140"/>
      <c r="J213" s="141"/>
    </row>
    <row r="214" spans="8:10" s="122" customFormat="1">
      <c r="H214" s="140"/>
      <c r="I214" s="140"/>
      <c r="J214" s="141"/>
    </row>
    <row r="215" spans="8:10" s="122" customFormat="1">
      <c r="H215" s="140"/>
      <c r="I215" s="140"/>
      <c r="J215" s="141"/>
    </row>
    <row r="216" spans="8:10" s="122" customFormat="1">
      <c r="H216" s="140"/>
      <c r="I216" s="140"/>
      <c r="J216" s="141"/>
    </row>
    <row r="217" spans="8:10" s="122" customFormat="1">
      <c r="H217" s="140"/>
      <c r="I217" s="140"/>
      <c r="J217" s="141"/>
    </row>
    <row r="218" spans="8:10" s="122" customFormat="1">
      <c r="H218" s="140"/>
      <c r="I218" s="140"/>
      <c r="J218" s="141"/>
    </row>
    <row r="219" spans="8:10" s="122" customFormat="1">
      <c r="H219" s="140"/>
      <c r="I219" s="140"/>
      <c r="J219" s="141"/>
    </row>
    <row r="220" spans="8:10" s="122" customFormat="1">
      <c r="H220" s="140"/>
      <c r="I220" s="140"/>
      <c r="J220" s="141"/>
    </row>
    <row r="221" spans="8:10" s="122" customFormat="1">
      <c r="H221" s="140"/>
      <c r="I221" s="140"/>
      <c r="J221" s="141"/>
    </row>
    <row r="222" spans="8:10" s="122" customFormat="1">
      <c r="H222" s="140"/>
      <c r="I222" s="140"/>
      <c r="J222" s="141"/>
    </row>
    <row r="223" spans="8:10" s="122" customFormat="1">
      <c r="H223" s="140"/>
      <c r="I223" s="140"/>
      <c r="J223" s="141"/>
    </row>
    <row r="224" spans="8:10" s="122" customFormat="1">
      <c r="H224" s="140"/>
      <c r="I224" s="140"/>
      <c r="J224" s="141"/>
    </row>
    <row r="225" spans="8:10" s="122" customFormat="1">
      <c r="H225" s="140"/>
      <c r="I225" s="140"/>
      <c r="J225" s="141"/>
    </row>
    <row r="226" spans="8:10" s="122" customFormat="1">
      <c r="H226" s="140"/>
      <c r="I226" s="140"/>
      <c r="J226" s="141"/>
    </row>
    <row r="227" spans="8:10" s="122" customFormat="1">
      <c r="H227" s="140"/>
      <c r="I227" s="140"/>
      <c r="J227" s="141"/>
    </row>
    <row r="228" spans="8:10" s="122" customFormat="1">
      <c r="H228" s="140"/>
      <c r="I228" s="140"/>
      <c r="J228" s="141"/>
    </row>
    <row r="229" spans="8:10" s="122" customFormat="1">
      <c r="H229" s="140"/>
      <c r="I229" s="140"/>
      <c r="J229" s="141"/>
    </row>
    <row r="230" spans="8:10" s="122" customFormat="1">
      <c r="H230" s="140"/>
      <c r="I230" s="140"/>
      <c r="J230" s="141"/>
    </row>
    <row r="231" spans="8:10" s="122" customFormat="1">
      <c r="H231" s="140"/>
      <c r="I231" s="140"/>
      <c r="J231" s="141"/>
    </row>
    <row r="232" spans="8:10" s="122" customFormat="1">
      <c r="H232" s="140"/>
      <c r="I232" s="140"/>
      <c r="J232" s="141"/>
    </row>
    <row r="233" spans="8:10" s="122" customFormat="1">
      <c r="H233" s="140"/>
      <c r="I233" s="140"/>
      <c r="J233" s="141"/>
    </row>
    <row r="234" spans="8:10" s="122" customFormat="1">
      <c r="H234" s="140"/>
      <c r="I234" s="140"/>
      <c r="J234" s="141"/>
    </row>
    <row r="235" spans="8:10" s="122" customFormat="1">
      <c r="H235" s="140"/>
      <c r="I235" s="140"/>
      <c r="J235" s="141"/>
    </row>
    <row r="236" spans="8:10" s="122" customFormat="1">
      <c r="H236" s="140"/>
      <c r="I236" s="140"/>
      <c r="J236" s="141"/>
    </row>
    <row r="237" spans="8:10" s="122" customFormat="1">
      <c r="H237" s="140"/>
      <c r="I237" s="140"/>
      <c r="J237" s="141"/>
    </row>
    <row r="238" spans="8:10" s="122" customFormat="1">
      <c r="H238" s="140"/>
      <c r="I238" s="140"/>
      <c r="J238" s="141"/>
    </row>
    <row r="239" spans="8:10" s="122" customFormat="1">
      <c r="H239" s="140"/>
      <c r="I239" s="140"/>
      <c r="J239" s="141"/>
    </row>
    <row r="240" spans="8:10" s="122" customFormat="1">
      <c r="H240" s="140"/>
      <c r="I240" s="140"/>
      <c r="J240" s="141"/>
    </row>
    <row r="241" spans="8:10" s="122" customFormat="1">
      <c r="H241" s="140"/>
      <c r="I241" s="140"/>
      <c r="J241" s="141"/>
    </row>
    <row r="242" spans="8:10" s="122" customFormat="1">
      <c r="H242" s="140"/>
      <c r="I242" s="140"/>
      <c r="J242" s="141"/>
    </row>
    <row r="243" spans="8:10" s="122" customFormat="1">
      <c r="H243" s="140"/>
      <c r="I243" s="140"/>
      <c r="J243" s="141"/>
    </row>
    <row r="244" spans="8:10" s="122" customFormat="1">
      <c r="H244" s="140"/>
      <c r="I244" s="140"/>
      <c r="J244" s="141"/>
    </row>
    <row r="245" spans="8:10" s="122" customFormat="1">
      <c r="H245" s="140"/>
      <c r="I245" s="140"/>
      <c r="J245" s="141"/>
    </row>
    <row r="246" spans="8:10" s="122" customFormat="1">
      <c r="H246" s="140"/>
      <c r="I246" s="140"/>
      <c r="J246" s="141"/>
    </row>
    <row r="247" spans="8:10" s="122" customFormat="1">
      <c r="H247" s="140"/>
      <c r="I247" s="140"/>
      <c r="J247" s="141"/>
    </row>
    <row r="248" spans="8:10" s="122" customFormat="1">
      <c r="H248" s="140"/>
      <c r="I248" s="140"/>
      <c r="J248" s="141"/>
    </row>
    <row r="249" spans="8:10" s="122" customFormat="1">
      <c r="H249" s="140"/>
      <c r="I249" s="140"/>
      <c r="J249" s="141"/>
    </row>
    <row r="250" spans="8:10" s="122" customFormat="1">
      <c r="H250" s="140"/>
      <c r="I250" s="140"/>
      <c r="J250" s="141"/>
    </row>
    <row r="251" spans="8:10" s="122" customFormat="1">
      <c r="H251" s="140"/>
      <c r="I251" s="140"/>
      <c r="J251" s="141"/>
    </row>
    <row r="252" spans="8:10" s="122" customFormat="1">
      <c r="H252" s="140"/>
      <c r="I252" s="140"/>
      <c r="J252" s="141"/>
    </row>
    <row r="253" spans="8:10" s="122" customFormat="1">
      <c r="H253" s="140"/>
      <c r="I253" s="140"/>
      <c r="J253" s="141"/>
    </row>
    <row r="254" spans="8:10" s="122" customFormat="1">
      <c r="H254" s="140"/>
      <c r="I254" s="140"/>
      <c r="J254" s="141"/>
    </row>
    <row r="255" spans="8:10" s="122" customFormat="1">
      <c r="H255" s="140"/>
      <c r="I255" s="140"/>
      <c r="J255" s="141"/>
    </row>
    <row r="256" spans="8:10" s="122" customFormat="1">
      <c r="H256" s="140"/>
      <c r="I256" s="140"/>
      <c r="J256" s="141"/>
    </row>
    <row r="257" spans="8:10" s="122" customFormat="1">
      <c r="H257" s="140"/>
      <c r="I257" s="140"/>
      <c r="J257" s="141"/>
    </row>
    <row r="258" spans="8:10" s="122" customFormat="1">
      <c r="H258" s="140"/>
      <c r="I258" s="140"/>
      <c r="J258" s="141"/>
    </row>
    <row r="259" spans="8:10" s="122" customFormat="1">
      <c r="H259" s="140"/>
      <c r="I259" s="140"/>
      <c r="J259" s="141"/>
    </row>
    <row r="260" spans="8:10" s="122" customFormat="1">
      <c r="H260" s="140"/>
      <c r="I260" s="140"/>
      <c r="J260" s="141"/>
    </row>
    <row r="261" spans="8:10" s="122" customFormat="1">
      <c r="H261" s="140"/>
      <c r="I261" s="140"/>
      <c r="J261" s="141"/>
    </row>
    <row r="262" spans="8:10" s="122" customFormat="1">
      <c r="H262" s="140"/>
      <c r="I262" s="140"/>
      <c r="J262" s="141"/>
    </row>
    <row r="263" spans="8:10" s="122" customFormat="1">
      <c r="H263" s="140"/>
      <c r="I263" s="140"/>
      <c r="J263" s="141"/>
    </row>
    <row r="264" spans="8:10" s="122" customFormat="1">
      <c r="H264" s="140"/>
      <c r="I264" s="140"/>
      <c r="J264" s="141"/>
    </row>
    <row r="265" spans="8:10" s="122" customFormat="1">
      <c r="H265" s="140"/>
      <c r="I265" s="140"/>
      <c r="J265" s="141"/>
    </row>
    <row r="266" spans="8:10" s="122" customFormat="1">
      <c r="H266" s="140"/>
      <c r="I266" s="140"/>
      <c r="J266" s="141"/>
    </row>
    <row r="267" spans="8:10" s="122" customFormat="1">
      <c r="H267" s="140"/>
      <c r="I267" s="140"/>
      <c r="J267" s="141"/>
    </row>
    <row r="268" spans="8:10" s="122" customFormat="1">
      <c r="H268" s="140"/>
      <c r="I268" s="140"/>
      <c r="J268" s="141"/>
    </row>
    <row r="269" spans="8:10" s="122" customFormat="1">
      <c r="H269" s="140"/>
      <c r="I269" s="140"/>
      <c r="J269" s="141"/>
    </row>
    <row r="270" spans="8:10" s="122" customFormat="1">
      <c r="H270" s="140"/>
      <c r="I270" s="140"/>
      <c r="J270" s="141"/>
    </row>
    <row r="271" spans="8:10" s="122" customFormat="1">
      <c r="H271" s="140"/>
      <c r="I271" s="140"/>
      <c r="J271" s="141"/>
    </row>
    <row r="272" spans="8:10" s="122" customFormat="1">
      <c r="H272" s="140"/>
      <c r="I272" s="140"/>
      <c r="J272" s="141"/>
    </row>
    <row r="273" spans="8:10" s="122" customFormat="1">
      <c r="H273" s="140"/>
      <c r="I273" s="140"/>
      <c r="J273" s="141"/>
    </row>
    <row r="274" spans="8:10" s="122" customFormat="1">
      <c r="H274" s="140"/>
      <c r="I274" s="140"/>
      <c r="J274" s="141"/>
    </row>
    <row r="275" spans="8:10" s="122" customFormat="1">
      <c r="H275" s="140"/>
      <c r="I275" s="140"/>
      <c r="J275" s="141"/>
    </row>
    <row r="276" spans="8:10" s="122" customFormat="1">
      <c r="H276" s="140"/>
      <c r="I276" s="140"/>
      <c r="J276" s="141"/>
    </row>
    <row r="277" spans="8:10" s="122" customFormat="1">
      <c r="H277" s="140"/>
      <c r="I277" s="140"/>
      <c r="J277" s="141"/>
    </row>
    <row r="278" spans="8:10" s="122" customFormat="1">
      <c r="H278" s="140"/>
      <c r="I278" s="140"/>
      <c r="J278" s="141"/>
    </row>
    <row r="279" spans="8:10" s="122" customFormat="1">
      <c r="H279" s="140"/>
      <c r="I279" s="140"/>
      <c r="J279" s="141"/>
    </row>
    <row r="280" spans="8:10" s="122" customFormat="1">
      <c r="H280" s="140"/>
      <c r="I280" s="140"/>
      <c r="J280" s="141"/>
    </row>
    <row r="281" spans="8:10" s="122" customFormat="1">
      <c r="H281" s="140"/>
      <c r="I281" s="140"/>
      <c r="J281" s="141"/>
    </row>
    <row r="282" spans="8:10" s="122" customFormat="1">
      <c r="H282" s="140"/>
      <c r="I282" s="140"/>
      <c r="J282" s="141"/>
    </row>
    <row r="283" spans="8:10" s="122" customFormat="1">
      <c r="H283" s="140"/>
      <c r="I283" s="140"/>
      <c r="J283" s="141"/>
    </row>
    <row r="284" spans="8:10" s="122" customFormat="1">
      <c r="H284" s="140"/>
      <c r="I284" s="140"/>
      <c r="J284" s="141"/>
    </row>
    <row r="285" spans="8:10" s="122" customFormat="1">
      <c r="H285" s="140"/>
      <c r="I285" s="140"/>
      <c r="J285" s="141"/>
    </row>
    <row r="286" spans="8:10" s="122" customFormat="1">
      <c r="H286" s="140"/>
      <c r="I286" s="140"/>
      <c r="J286" s="141"/>
    </row>
    <row r="287" spans="8:10" s="122" customFormat="1">
      <c r="H287" s="140"/>
      <c r="I287" s="140"/>
      <c r="J287" s="141"/>
    </row>
    <row r="288" spans="8:10" s="122" customFormat="1">
      <c r="H288" s="140"/>
      <c r="I288" s="140"/>
      <c r="J288" s="141"/>
    </row>
    <row r="289" spans="1:329">
      <c r="A289" s="122"/>
      <c r="B289" s="122"/>
      <c r="C289" s="122"/>
      <c r="D289" s="122"/>
      <c r="E289" s="122"/>
      <c r="F289" s="122"/>
      <c r="G289" s="122"/>
      <c r="H289" s="140"/>
      <c r="I289" s="140"/>
      <c r="J289" s="141"/>
      <c r="K289" s="122"/>
      <c r="L289" s="122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21"/>
      <c r="BZ289" s="121"/>
      <c r="CA289" s="121"/>
      <c r="CB289" s="121"/>
      <c r="CC289" s="121"/>
      <c r="CD289" s="121"/>
      <c r="CE289" s="121"/>
      <c r="CF289" s="121"/>
      <c r="CG289" s="121"/>
      <c r="CH289" s="121"/>
      <c r="CI289" s="121"/>
      <c r="CJ289" s="121"/>
      <c r="CK289" s="121"/>
      <c r="CL289" s="121"/>
      <c r="CM289" s="121"/>
      <c r="CN289" s="121"/>
      <c r="CO289" s="121"/>
      <c r="CP289" s="121"/>
      <c r="CQ289" s="121"/>
      <c r="CR289" s="121"/>
      <c r="CS289" s="121"/>
      <c r="CT289" s="121"/>
      <c r="CU289" s="121"/>
      <c r="CV289" s="121"/>
      <c r="CW289" s="121"/>
      <c r="CX289" s="121"/>
      <c r="CY289" s="121"/>
      <c r="CZ289" s="121"/>
      <c r="DA289" s="121"/>
      <c r="DB289" s="121"/>
      <c r="DC289" s="121"/>
      <c r="DD289" s="121"/>
      <c r="DE289" s="121"/>
      <c r="DF289" s="121"/>
      <c r="DG289" s="121"/>
      <c r="DH289" s="121"/>
      <c r="DI289" s="121"/>
      <c r="DJ289" s="121"/>
      <c r="DK289" s="121"/>
      <c r="DL289" s="121"/>
      <c r="DM289" s="121"/>
      <c r="DN289" s="121"/>
      <c r="DO289" s="121"/>
      <c r="DP289" s="121"/>
      <c r="DQ289" s="121"/>
      <c r="DR289" s="121"/>
      <c r="DS289" s="121"/>
      <c r="DT289" s="121"/>
      <c r="DU289" s="121"/>
      <c r="DV289" s="121"/>
      <c r="DW289" s="121"/>
      <c r="DX289" s="121"/>
      <c r="DY289" s="121"/>
      <c r="DZ289" s="121"/>
      <c r="EA289" s="121"/>
      <c r="EB289" s="121"/>
      <c r="EC289" s="121"/>
      <c r="ED289" s="121"/>
      <c r="EE289" s="121"/>
      <c r="EF289" s="121"/>
      <c r="EG289" s="121"/>
      <c r="EH289" s="121"/>
      <c r="EI289" s="121"/>
      <c r="EJ289" s="121"/>
      <c r="EK289" s="121"/>
      <c r="EL289" s="121"/>
      <c r="EM289" s="121"/>
      <c r="EN289" s="121"/>
      <c r="EO289" s="121"/>
      <c r="EP289" s="121"/>
      <c r="EQ289" s="121"/>
      <c r="ER289" s="121"/>
      <c r="ES289" s="121"/>
      <c r="ET289" s="121"/>
      <c r="EU289" s="121"/>
      <c r="EV289" s="121"/>
      <c r="EW289" s="121"/>
      <c r="EX289" s="121"/>
      <c r="EY289" s="121"/>
      <c r="EZ289" s="121"/>
      <c r="FA289" s="121"/>
      <c r="FB289" s="121"/>
      <c r="FC289" s="121"/>
      <c r="FD289" s="121"/>
      <c r="FE289" s="121"/>
      <c r="FF289" s="121"/>
      <c r="FG289" s="121"/>
      <c r="FH289" s="121"/>
      <c r="FI289" s="121"/>
      <c r="FJ289" s="121"/>
      <c r="FK289" s="121"/>
      <c r="FL289" s="121"/>
      <c r="FM289" s="121"/>
      <c r="FN289" s="121"/>
      <c r="FO289" s="121"/>
      <c r="FP289" s="121"/>
      <c r="FQ289" s="121"/>
      <c r="FR289" s="121"/>
      <c r="FS289" s="121"/>
      <c r="FT289" s="121"/>
      <c r="FU289" s="121"/>
      <c r="FV289" s="121"/>
      <c r="FW289" s="121"/>
      <c r="FX289" s="121"/>
      <c r="FY289" s="121"/>
      <c r="FZ289" s="121"/>
      <c r="GA289" s="121"/>
      <c r="GB289" s="121"/>
      <c r="GC289" s="121"/>
      <c r="GD289" s="121"/>
      <c r="GE289" s="121"/>
      <c r="GF289" s="121"/>
      <c r="GG289" s="121"/>
      <c r="GH289" s="121"/>
      <c r="GI289" s="121"/>
      <c r="GJ289" s="121"/>
      <c r="GK289" s="121"/>
      <c r="GL289" s="121"/>
      <c r="GM289" s="121"/>
      <c r="GN289" s="121"/>
      <c r="GO289" s="121"/>
      <c r="GP289" s="121"/>
      <c r="GQ289" s="121"/>
      <c r="GR289" s="121"/>
      <c r="GS289" s="121"/>
      <c r="GT289" s="121"/>
      <c r="GU289" s="121"/>
      <c r="GV289" s="121"/>
      <c r="GW289" s="121"/>
      <c r="GX289" s="121"/>
      <c r="GY289" s="121"/>
      <c r="GZ289" s="121"/>
      <c r="HA289" s="121"/>
      <c r="HB289" s="121"/>
      <c r="HC289" s="121"/>
      <c r="HD289" s="121"/>
      <c r="HE289" s="121"/>
      <c r="HF289" s="121"/>
      <c r="HG289" s="121"/>
      <c r="HH289" s="121"/>
      <c r="HI289" s="121"/>
      <c r="HJ289" s="121"/>
      <c r="HK289" s="121"/>
      <c r="HL289" s="121"/>
      <c r="HM289" s="121"/>
      <c r="HN289" s="121"/>
      <c r="HO289" s="121"/>
      <c r="HP289" s="121"/>
      <c r="HQ289" s="121"/>
      <c r="HR289" s="121"/>
      <c r="HS289" s="121"/>
      <c r="HT289" s="121"/>
      <c r="HU289" s="121"/>
      <c r="HV289" s="121"/>
      <c r="HW289" s="121"/>
      <c r="HX289" s="121"/>
      <c r="HY289" s="121"/>
      <c r="HZ289" s="121"/>
      <c r="IA289" s="121"/>
      <c r="IB289" s="121"/>
      <c r="IC289" s="121"/>
      <c r="ID289" s="121"/>
      <c r="IE289" s="121"/>
      <c r="IF289" s="121"/>
      <c r="IG289" s="121"/>
      <c r="IH289" s="121"/>
      <c r="II289" s="121"/>
      <c r="IJ289" s="121"/>
      <c r="IK289" s="121"/>
      <c r="IL289" s="121"/>
      <c r="IM289" s="121"/>
      <c r="IN289" s="121"/>
      <c r="IO289" s="121"/>
      <c r="IP289" s="121"/>
      <c r="IQ289" s="121"/>
      <c r="IR289" s="121"/>
      <c r="IS289" s="121"/>
      <c r="IT289" s="121"/>
      <c r="IU289" s="121"/>
      <c r="IV289" s="121"/>
      <c r="IW289" s="121"/>
      <c r="IX289" s="121"/>
      <c r="IY289" s="121"/>
      <c r="IZ289" s="121"/>
      <c r="JA289" s="121"/>
      <c r="JB289" s="121"/>
      <c r="JC289" s="121"/>
      <c r="JD289" s="121"/>
      <c r="JE289" s="121"/>
      <c r="JF289" s="121"/>
      <c r="JG289" s="121"/>
      <c r="JH289" s="121"/>
      <c r="JI289" s="121"/>
      <c r="JJ289" s="121"/>
      <c r="JK289" s="121"/>
      <c r="JL289" s="121"/>
      <c r="JM289" s="121"/>
      <c r="JN289" s="121"/>
      <c r="JO289" s="121"/>
      <c r="JP289" s="121"/>
      <c r="JQ289" s="121"/>
      <c r="JR289" s="121"/>
      <c r="JS289" s="121"/>
      <c r="JT289" s="121"/>
      <c r="JU289" s="121"/>
      <c r="JV289" s="121"/>
      <c r="JW289" s="121"/>
      <c r="JX289" s="121"/>
      <c r="JY289" s="121"/>
      <c r="JZ289" s="121"/>
      <c r="KA289" s="121"/>
      <c r="KB289" s="121"/>
      <c r="KC289" s="121"/>
      <c r="KD289" s="121"/>
      <c r="KE289" s="121"/>
      <c r="KF289" s="121"/>
      <c r="KG289" s="121"/>
      <c r="KH289" s="121"/>
      <c r="KI289" s="121"/>
      <c r="KJ289" s="121"/>
      <c r="KK289" s="121"/>
      <c r="KL289" s="121"/>
      <c r="KM289" s="121"/>
      <c r="KN289" s="121"/>
      <c r="KO289" s="121"/>
      <c r="KP289" s="121"/>
      <c r="KQ289" s="121"/>
      <c r="KR289" s="121"/>
      <c r="KS289" s="121"/>
      <c r="KT289" s="121"/>
      <c r="KU289" s="121"/>
      <c r="KV289" s="121"/>
      <c r="KW289" s="121"/>
      <c r="KX289" s="121"/>
      <c r="KY289" s="121"/>
      <c r="KZ289" s="121"/>
      <c r="LA289" s="121"/>
      <c r="LB289" s="121"/>
      <c r="LC289" s="121"/>
      <c r="LD289" s="121"/>
      <c r="LE289" s="121"/>
      <c r="LF289" s="121"/>
      <c r="LG289" s="121"/>
      <c r="LH289" s="121"/>
      <c r="LI289" s="121"/>
      <c r="LJ289" s="121"/>
      <c r="LK289" s="121"/>
      <c r="LL289" s="121"/>
      <c r="LM289" s="121"/>
      <c r="LN289" s="121"/>
      <c r="LO289" s="121"/>
      <c r="LP289" s="121"/>
      <c r="LQ289" s="121"/>
    </row>
    <row r="290" spans="1:329">
      <c r="A290" s="122"/>
      <c r="B290" s="122"/>
      <c r="C290" s="122"/>
      <c r="D290" s="122"/>
      <c r="E290" s="122"/>
      <c r="F290" s="122"/>
      <c r="G290" s="122"/>
      <c r="H290" s="140"/>
      <c r="I290" s="140"/>
      <c r="J290" s="141"/>
      <c r="K290" s="123"/>
    </row>
  </sheetData>
  <sheetProtection sort="0" autoFilter="0"/>
  <mergeCells count="2">
    <mergeCell ref="A1:B1"/>
    <mergeCell ref="C1:G1"/>
  </mergeCells>
  <pageMargins left="0.59055118110236227" right="0.15748031496062992" top="0.94488188976377963" bottom="0.41" header="0.27559055118110237" footer="0.11811023622047245"/>
  <pageSetup paperSize="9" scale="85" orientation="landscape" r:id="rId1"/>
  <headerFooter>
    <oddHeader>&amp;C&amp;"-,Negrito"&amp;12RELATÓRIO DE CUSTO DE PRESTAÇÃO DE SERVIÇOS DE VILIGÂNCIA E SEGURANÇA PATRIMONIALSAAB 5 - Diretoria de Licitações e Suprimentos</oddHeader>
    <oddFooter>&amp;C&amp;D&amp;R&amp;P/&amp;N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'Centro de Custo - ISS'!$B$2:$B$322</xm:f>
          </x14:formula1>
          <xm:sqref>C1:G1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21"/>
  <sheetViews>
    <sheetView zoomScaleNormal="100" workbookViewId="0">
      <selection sqref="A1:H1"/>
    </sheetView>
  </sheetViews>
  <sheetFormatPr defaultColWidth="9.140625" defaultRowHeight="12"/>
  <cols>
    <col min="1" max="1" width="23.5703125" style="9" customWidth="1"/>
    <col min="2" max="2" width="34.85546875" style="9" customWidth="1"/>
    <col min="3" max="3" width="18.42578125" style="9" customWidth="1"/>
    <col min="4" max="4" width="10.85546875" style="9" customWidth="1"/>
    <col min="5" max="5" width="16" style="9" customWidth="1"/>
    <col min="6" max="6" width="8.140625" style="9" customWidth="1"/>
    <col min="7" max="7" width="5.85546875" style="9" customWidth="1"/>
    <col min="8" max="8" width="6.5703125" style="9" customWidth="1"/>
    <col min="9" max="16384" width="9.140625" style="9"/>
  </cols>
  <sheetData>
    <row r="1" spans="1:10" ht="24.75" customHeight="1">
      <c r="A1" s="295" t="s">
        <v>0</v>
      </c>
      <c r="B1" s="296"/>
      <c r="C1" s="296"/>
      <c r="D1" s="296"/>
      <c r="E1" s="296"/>
      <c r="F1" s="296"/>
      <c r="G1" s="296"/>
      <c r="H1" s="297"/>
      <c r="I1" s="8"/>
    </row>
    <row r="2" spans="1:10" ht="24" customHeight="1">
      <c r="A2" s="10" t="s">
        <v>1</v>
      </c>
      <c r="B2" s="293"/>
      <c r="C2" s="294"/>
      <c r="D2" s="306" t="s">
        <v>2</v>
      </c>
      <c r="E2" s="307"/>
      <c r="F2" s="293"/>
      <c r="G2" s="303"/>
      <c r="H2" s="294"/>
      <c r="I2" s="8"/>
      <c r="J2" s="11" t="s">
        <v>3</v>
      </c>
    </row>
    <row r="3" spans="1:10" ht="18.75" customHeight="1">
      <c r="A3" s="302" t="s">
        <v>4</v>
      </c>
      <c r="B3" s="302"/>
      <c r="C3" s="302"/>
      <c r="D3" s="302"/>
      <c r="E3" s="302"/>
      <c r="F3" s="302"/>
      <c r="G3" s="302"/>
      <c r="H3" s="302"/>
      <c r="I3" s="8"/>
      <c r="J3" s="11" t="s">
        <v>5</v>
      </c>
    </row>
    <row r="4" spans="1:10" ht="18" customHeight="1">
      <c r="A4" s="12" t="s">
        <v>6</v>
      </c>
      <c r="B4" s="293"/>
      <c r="C4" s="303"/>
      <c r="D4" s="303"/>
      <c r="E4" s="303"/>
      <c r="F4" s="303"/>
      <c r="G4" s="303"/>
      <c r="H4" s="294"/>
      <c r="I4" s="8"/>
    </row>
    <row r="5" spans="1:10" ht="18" customHeight="1">
      <c r="A5" s="12" t="s">
        <v>7</v>
      </c>
      <c r="B5" s="293"/>
      <c r="C5" s="303"/>
      <c r="D5" s="303"/>
      <c r="E5" s="303"/>
      <c r="F5" s="303"/>
      <c r="G5" s="303"/>
      <c r="H5" s="294"/>
      <c r="I5" s="8"/>
    </row>
    <row r="6" spans="1:10" ht="18" customHeight="1">
      <c r="A6" s="12" t="s">
        <v>8</v>
      </c>
      <c r="B6" s="293"/>
      <c r="C6" s="303"/>
      <c r="D6" s="303"/>
      <c r="E6" s="303"/>
      <c r="F6" s="303"/>
      <c r="G6" s="303"/>
      <c r="H6" s="294"/>
      <c r="I6" s="8"/>
    </row>
    <row r="7" spans="1:10" ht="18" customHeight="1">
      <c r="A7" s="12" t="s">
        <v>9</v>
      </c>
      <c r="B7" s="293"/>
      <c r="C7" s="294"/>
      <c r="D7" s="13" t="s">
        <v>10</v>
      </c>
      <c r="E7" s="293"/>
      <c r="F7" s="294"/>
      <c r="G7" s="14" t="s">
        <v>11</v>
      </c>
      <c r="H7" s="15"/>
      <c r="I7" s="8"/>
    </row>
    <row r="8" spans="1:10" ht="18" customHeight="1">
      <c r="A8" s="12" t="s">
        <v>12</v>
      </c>
      <c r="B8" s="142"/>
      <c r="C8" s="16" t="s">
        <v>13</v>
      </c>
      <c r="D8" s="308"/>
      <c r="E8" s="309"/>
      <c r="F8" s="309"/>
      <c r="G8" s="309"/>
      <c r="H8" s="310"/>
      <c r="I8" s="8"/>
    </row>
    <row r="9" spans="1:10" ht="24.75" customHeight="1">
      <c r="A9" s="12" t="s">
        <v>14</v>
      </c>
      <c r="B9" s="293"/>
      <c r="C9" s="303"/>
      <c r="D9" s="303"/>
      <c r="E9" s="303"/>
      <c r="F9" s="303"/>
      <c r="G9" s="303"/>
      <c r="H9" s="294"/>
      <c r="I9" s="8"/>
    </row>
    <row r="10" spans="1:10" ht="21.75" customHeight="1">
      <c r="A10" s="302" t="s">
        <v>15</v>
      </c>
      <c r="B10" s="302"/>
      <c r="C10" s="302"/>
      <c r="D10" s="302"/>
      <c r="E10" s="302"/>
      <c r="F10" s="302"/>
      <c r="G10" s="302"/>
      <c r="H10" s="302"/>
      <c r="I10" s="8"/>
    </row>
    <row r="11" spans="1:10" ht="36">
      <c r="A11" s="298" t="s">
        <v>16</v>
      </c>
      <c r="B11" s="298" t="s">
        <v>17</v>
      </c>
      <c r="C11" s="298" t="s">
        <v>14</v>
      </c>
      <c r="D11" s="298"/>
      <c r="E11" s="298" t="s">
        <v>13</v>
      </c>
      <c r="F11" s="146" t="s">
        <v>18</v>
      </c>
      <c r="G11" s="305" t="s">
        <v>19</v>
      </c>
      <c r="H11" s="305"/>
      <c r="I11" s="8"/>
    </row>
    <row r="12" spans="1:10">
      <c r="A12" s="298"/>
      <c r="B12" s="298"/>
      <c r="C12" s="298"/>
      <c r="D12" s="298"/>
      <c r="E12" s="298"/>
      <c r="F12" s="143" t="s">
        <v>20</v>
      </c>
      <c r="G12" s="301" t="s">
        <v>20</v>
      </c>
      <c r="H12" s="301"/>
      <c r="I12" s="8"/>
    </row>
    <row r="13" spans="1:10" ht="34.5" customHeight="1">
      <c r="A13" s="15"/>
      <c r="B13" s="15"/>
      <c r="C13" s="293"/>
      <c r="D13" s="294"/>
      <c r="E13" s="15"/>
      <c r="F13" s="17"/>
      <c r="G13" s="299"/>
      <c r="H13" s="300"/>
      <c r="I13" s="8"/>
    </row>
    <row r="14" spans="1:10" ht="34.5" customHeight="1">
      <c r="A14" s="15"/>
      <c r="B14" s="15"/>
      <c r="C14" s="293"/>
      <c r="D14" s="294"/>
      <c r="E14" s="15"/>
      <c r="F14" s="17"/>
      <c r="G14" s="299"/>
      <c r="H14" s="300"/>
      <c r="I14" s="8"/>
    </row>
    <row r="15" spans="1:10" ht="34.5" customHeight="1">
      <c r="A15" s="15"/>
      <c r="B15" s="15"/>
      <c r="C15" s="293"/>
      <c r="D15" s="294"/>
      <c r="E15" s="15"/>
      <c r="F15" s="17"/>
      <c r="G15" s="299"/>
      <c r="H15" s="300"/>
      <c r="I15" s="8"/>
    </row>
    <row r="16" spans="1:10" ht="34.5" customHeight="1">
      <c r="A16" s="15"/>
      <c r="B16" s="15"/>
      <c r="C16" s="293"/>
      <c r="D16" s="294"/>
      <c r="E16" s="15"/>
      <c r="F16" s="17"/>
      <c r="G16" s="299"/>
      <c r="H16" s="300"/>
      <c r="I16" s="8"/>
    </row>
    <row r="17" spans="1:9" ht="34.5" customHeight="1">
      <c r="A17" s="15"/>
      <c r="B17" s="15"/>
      <c r="C17" s="293"/>
      <c r="D17" s="294"/>
      <c r="E17" s="15"/>
      <c r="F17" s="17"/>
      <c r="G17" s="299"/>
      <c r="H17" s="300"/>
      <c r="I17" s="8"/>
    </row>
    <row r="18" spans="1:9" ht="34.5" customHeight="1">
      <c r="A18" s="15"/>
      <c r="B18" s="15"/>
      <c r="C18" s="293"/>
      <c r="D18" s="294"/>
      <c r="E18" s="15"/>
      <c r="F18" s="17"/>
      <c r="G18" s="299"/>
      <c r="H18" s="300"/>
      <c r="I18" s="8"/>
    </row>
    <row r="19" spans="1:9" ht="19.5" customHeight="1">
      <c r="A19" s="144" t="s">
        <v>21</v>
      </c>
      <c r="B19" s="144" t="s">
        <v>22</v>
      </c>
      <c r="C19" s="298" t="s">
        <v>23</v>
      </c>
      <c r="D19" s="298"/>
      <c r="E19" s="298"/>
      <c r="F19" s="298"/>
      <c r="G19" s="298"/>
      <c r="H19" s="298"/>
      <c r="I19" s="8"/>
    </row>
    <row r="20" spans="1:9" ht="29.25" customHeight="1">
      <c r="A20" s="145"/>
      <c r="B20" s="18"/>
      <c r="C20" s="304"/>
      <c r="D20" s="304"/>
      <c r="E20" s="304"/>
      <c r="F20" s="304"/>
      <c r="G20" s="304"/>
      <c r="H20" s="304"/>
      <c r="I20" s="8"/>
    </row>
    <row r="21" spans="1:9">
      <c r="A21" s="19"/>
      <c r="B21" s="19"/>
      <c r="C21" s="19"/>
      <c r="D21" s="19"/>
      <c r="E21" s="19"/>
      <c r="F21" s="19"/>
      <c r="G21" s="19"/>
      <c r="H21" s="19"/>
    </row>
  </sheetData>
  <mergeCells count="33">
    <mergeCell ref="B9:H9"/>
    <mergeCell ref="B7:C7"/>
    <mergeCell ref="D2:E2"/>
    <mergeCell ref="D8:H8"/>
    <mergeCell ref="B4:H4"/>
    <mergeCell ref="B5:H5"/>
    <mergeCell ref="B6:H6"/>
    <mergeCell ref="A11:A12"/>
    <mergeCell ref="B11:B12"/>
    <mergeCell ref="C11:D12"/>
    <mergeCell ref="E11:E12"/>
    <mergeCell ref="G11:H11"/>
    <mergeCell ref="C20:H20"/>
    <mergeCell ref="C17:D17"/>
    <mergeCell ref="G17:H17"/>
    <mergeCell ref="C18:D18"/>
    <mergeCell ref="G18:H18"/>
    <mergeCell ref="C14:D14"/>
    <mergeCell ref="A1:H1"/>
    <mergeCell ref="E7:F7"/>
    <mergeCell ref="B2:C2"/>
    <mergeCell ref="C19:H19"/>
    <mergeCell ref="C15:D15"/>
    <mergeCell ref="G15:H15"/>
    <mergeCell ref="C16:D16"/>
    <mergeCell ref="G16:H16"/>
    <mergeCell ref="G12:H12"/>
    <mergeCell ref="C13:D13"/>
    <mergeCell ref="G13:H13"/>
    <mergeCell ref="A3:H3"/>
    <mergeCell ref="F2:H2"/>
    <mergeCell ref="G14:H14"/>
    <mergeCell ref="A10:H10"/>
  </mergeCells>
  <dataValidations count="1">
    <dataValidation type="list" allowBlank="1" showInputMessage="1" showErrorMessage="1" sqref="F13:H18" xr:uid="{00000000-0002-0000-0000-000000000000}">
      <formula1>$J$1:$J$3</formula1>
    </dataValidation>
  </dataValidations>
  <pageMargins left="0.51181102362204722" right="0.19685039370078741" top="0.78740157480314965" bottom="0.78740157480314965" header="0.31496062992125984" footer="0.31496062992125984"/>
  <pageSetup paperSize="9" scale="75" orientation="portrait" verticalDpi="599" r:id="rId1"/>
  <headerFooter>
    <oddHeader>&amp;C&amp;"-,Negrito"PLANILHA DE COMPOSIÇÃO DE CUSTOSDADOS CADASTRAIS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241"/>
  <sheetViews>
    <sheetView showGridLines="0" zoomScale="90" zoomScaleNormal="90" zoomScalePageLayoutView="60" workbookViewId="0">
      <selection activeCell="J98" sqref="J98"/>
    </sheetView>
  </sheetViews>
  <sheetFormatPr defaultColWidth="9.140625" defaultRowHeight="15" customHeight="1"/>
  <cols>
    <col min="1" max="1" width="7.140625" style="76" customWidth="1"/>
    <col min="2" max="2" width="33.5703125" style="76" customWidth="1"/>
    <col min="3" max="3" width="10.140625" style="76" customWidth="1"/>
    <col min="4" max="4" width="7.7109375" style="76" customWidth="1"/>
    <col min="5" max="5" width="10.140625" style="76" customWidth="1"/>
    <col min="6" max="6" width="11.42578125" style="76" bestFit="1" customWidth="1"/>
    <col min="7" max="7" width="12.28515625" style="76" customWidth="1"/>
    <col min="8" max="8" width="16.7109375" style="76" bestFit="1" customWidth="1"/>
    <col min="9" max="9" width="12.42578125" style="76" customWidth="1"/>
    <col min="10" max="10" width="11.28515625" style="76" customWidth="1"/>
    <col min="11" max="11" width="11.28515625" style="9" bestFit="1" customWidth="1"/>
    <col min="12" max="12" width="12.140625" style="9" bestFit="1" customWidth="1"/>
    <col min="13" max="13" width="12" style="56" customWidth="1"/>
    <col min="14" max="14" width="13.85546875" style="56" customWidth="1"/>
    <col min="15" max="15" width="9.140625" style="9"/>
    <col min="16" max="16" width="10.5703125" style="9" bestFit="1" customWidth="1"/>
    <col min="17" max="16384" width="9.140625" style="9"/>
  </cols>
  <sheetData>
    <row r="1" spans="1:20" ht="23.25" customHeight="1">
      <c r="A1" s="338" t="s">
        <v>24</v>
      </c>
      <c r="B1" s="338"/>
      <c r="C1" s="338"/>
      <c r="D1" s="338"/>
      <c r="E1" s="338"/>
      <c r="F1" s="338"/>
      <c r="G1" s="338"/>
      <c r="H1" s="338"/>
      <c r="I1" s="338"/>
      <c r="J1" s="338"/>
      <c r="L1" s="87"/>
      <c r="M1" s="54" t="s">
        <v>5</v>
      </c>
      <c r="N1" s="54" t="s">
        <v>25</v>
      </c>
      <c r="O1" s="11"/>
      <c r="P1" s="11"/>
      <c r="Q1" s="11"/>
      <c r="R1" s="11"/>
      <c r="S1" s="87"/>
      <c r="T1" s="87"/>
    </row>
    <row r="2" spans="1:20" ht="13.9" customHeight="1">
      <c r="A2" s="339" t="s">
        <v>6</v>
      </c>
      <c r="B2" s="339"/>
      <c r="C2" s="339"/>
      <c r="D2" s="339"/>
      <c r="E2" s="339"/>
      <c r="F2" s="342" t="str">
        <f>IF('Dados Cadastrais'!B4=0,"",'Dados Cadastrais'!B4)</f>
        <v/>
      </c>
      <c r="G2" s="342"/>
      <c r="H2" s="342"/>
      <c r="I2" s="342"/>
      <c r="J2" s="342"/>
      <c r="K2" s="8"/>
      <c r="L2" s="87"/>
      <c r="M2" s="11" t="s">
        <v>3</v>
      </c>
      <c r="N2" s="54" t="s">
        <v>26</v>
      </c>
      <c r="O2" s="11"/>
      <c r="P2" s="11"/>
      <c r="Q2" s="11"/>
      <c r="R2" s="11"/>
      <c r="S2" s="87"/>
      <c r="T2" s="87"/>
    </row>
    <row r="3" spans="1:20" ht="13.9" customHeight="1">
      <c r="A3" s="339" t="s">
        <v>7</v>
      </c>
      <c r="B3" s="339"/>
      <c r="C3" s="339"/>
      <c r="D3" s="339"/>
      <c r="E3" s="339"/>
      <c r="F3" s="320" t="str">
        <f>IF('Dados Cadastrais'!B5=0,"",'Dados Cadastrais'!B5)</f>
        <v/>
      </c>
      <c r="G3" s="321"/>
      <c r="H3" s="321"/>
      <c r="I3" s="321"/>
      <c r="J3" s="322"/>
      <c r="K3" s="8"/>
      <c r="L3" s="87"/>
      <c r="M3" s="11"/>
      <c r="N3" s="54" t="s">
        <v>27</v>
      </c>
      <c r="O3" s="11"/>
      <c r="P3" s="11"/>
      <c r="Q3" s="11"/>
      <c r="R3" s="11"/>
      <c r="S3" s="87"/>
      <c r="T3" s="87"/>
    </row>
    <row r="4" spans="1:20" ht="13.9" customHeight="1">
      <c r="A4" s="339" t="s">
        <v>28</v>
      </c>
      <c r="B4" s="339"/>
      <c r="C4" s="339"/>
      <c r="D4" s="339"/>
      <c r="E4" s="339"/>
      <c r="F4" s="347" t="s">
        <v>29</v>
      </c>
      <c r="G4" s="348"/>
      <c r="H4" s="349"/>
      <c r="I4" s="147" t="s">
        <v>30</v>
      </c>
      <c r="J4" s="201" t="s">
        <v>31</v>
      </c>
      <c r="K4" s="8"/>
      <c r="L4" s="87"/>
      <c r="M4" s="87"/>
      <c r="N4" s="88"/>
      <c r="O4" s="87"/>
      <c r="P4" s="87"/>
      <c r="Q4" s="87"/>
      <c r="R4" s="87"/>
      <c r="S4" s="87"/>
      <c r="T4" s="87"/>
    </row>
    <row r="5" spans="1:20" ht="13.9" customHeight="1">
      <c r="A5" s="341" t="s">
        <v>32</v>
      </c>
      <c r="B5" s="341"/>
      <c r="C5" s="341"/>
      <c r="D5" s="341"/>
      <c r="E5" s="341"/>
      <c r="F5" s="350"/>
      <c r="G5" s="351"/>
      <c r="H5" s="352"/>
      <c r="I5" s="346"/>
      <c r="J5" s="346"/>
      <c r="K5" s="55"/>
      <c r="L5" s="87"/>
      <c r="M5" s="87"/>
      <c r="N5" s="88"/>
      <c r="O5" s="87"/>
      <c r="P5" s="87"/>
      <c r="Q5" s="87"/>
      <c r="R5" s="87"/>
      <c r="S5" s="87"/>
      <c r="T5" s="87"/>
    </row>
    <row r="6" spans="1:20" ht="13.9" customHeight="1">
      <c r="A6" s="339" t="s">
        <v>33</v>
      </c>
      <c r="B6" s="339"/>
      <c r="C6" s="339"/>
      <c r="D6" s="339"/>
      <c r="E6" s="339"/>
      <c r="F6" s="345" t="s">
        <v>25</v>
      </c>
      <c r="G6" s="345"/>
      <c r="H6" s="345"/>
      <c r="I6" s="346"/>
      <c r="J6" s="346"/>
      <c r="K6" s="55"/>
      <c r="L6" s="87"/>
      <c r="M6" s="87"/>
      <c r="N6" s="87"/>
      <c r="O6" s="87"/>
      <c r="P6" s="87"/>
      <c r="Q6" s="87"/>
      <c r="R6" s="87"/>
      <c r="S6" s="87"/>
      <c r="T6" s="87"/>
    </row>
    <row r="7" spans="1:20" ht="13.9" customHeight="1">
      <c r="A7" s="339" t="s">
        <v>34</v>
      </c>
      <c r="B7" s="339"/>
      <c r="C7" s="339"/>
      <c r="D7" s="339"/>
      <c r="E7" s="339"/>
      <c r="F7" s="343">
        <v>0.03</v>
      </c>
      <c r="G7" s="343"/>
      <c r="H7" s="343"/>
      <c r="I7" s="343"/>
      <c r="J7" s="343"/>
      <c r="K7" s="8"/>
      <c r="L7" s="87"/>
      <c r="M7" s="87"/>
      <c r="N7" s="87"/>
      <c r="O7" s="87"/>
      <c r="P7" s="87"/>
      <c r="Q7" s="87"/>
      <c r="R7" s="87"/>
      <c r="S7" s="87"/>
      <c r="T7" s="87"/>
    </row>
    <row r="8" spans="1:20" ht="13.9" customHeight="1">
      <c r="A8" s="339" t="s">
        <v>35</v>
      </c>
      <c r="B8" s="339"/>
      <c r="C8" s="339"/>
      <c r="D8" s="339"/>
      <c r="E8" s="339"/>
      <c r="F8" s="343">
        <v>6.6199999999999995E-2</v>
      </c>
      <c r="G8" s="343"/>
      <c r="H8" s="343"/>
      <c r="I8" s="343"/>
      <c r="J8" s="343"/>
      <c r="K8" s="8"/>
      <c r="L8" s="87"/>
      <c r="M8" s="87"/>
      <c r="N8" s="87"/>
      <c r="O8" s="87"/>
      <c r="P8" s="87"/>
      <c r="Q8" s="87"/>
      <c r="R8" s="87"/>
      <c r="S8" s="87"/>
      <c r="T8" s="87"/>
    </row>
    <row r="9" spans="1:20" ht="13.9" customHeight="1">
      <c r="A9" s="339" t="s">
        <v>36</v>
      </c>
      <c r="B9" s="339"/>
      <c r="C9" s="339"/>
      <c r="D9" s="339"/>
      <c r="E9" s="339"/>
      <c r="F9" s="343">
        <v>7.1999999999999995E-2</v>
      </c>
      <c r="G9" s="343"/>
      <c r="H9" s="343"/>
      <c r="I9" s="343"/>
      <c r="J9" s="343"/>
      <c r="K9" s="8"/>
      <c r="L9" s="87"/>
      <c r="M9" s="87"/>
      <c r="N9" s="87"/>
      <c r="O9" s="87"/>
      <c r="P9" s="87"/>
      <c r="Q9" s="87"/>
      <c r="R9" s="87"/>
      <c r="S9" s="87"/>
      <c r="T9" s="87"/>
    </row>
    <row r="10" spans="1:20" ht="13.9" customHeight="1">
      <c r="A10" s="339" t="s">
        <v>37</v>
      </c>
      <c r="B10" s="339"/>
      <c r="C10" s="339"/>
      <c r="D10" s="339"/>
      <c r="E10" s="339"/>
      <c r="F10" s="343">
        <v>0.03</v>
      </c>
      <c r="G10" s="343"/>
      <c r="H10" s="343"/>
      <c r="I10" s="343"/>
      <c r="J10" s="343"/>
      <c r="K10" s="8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13.9" customHeight="1">
      <c r="A11" s="339" t="s">
        <v>38</v>
      </c>
      <c r="B11" s="339"/>
      <c r="C11" s="339"/>
      <c r="D11" s="339"/>
      <c r="E11" s="339"/>
      <c r="F11" s="343">
        <v>6.4999999999999997E-3</v>
      </c>
      <c r="G11" s="343"/>
      <c r="H11" s="343"/>
      <c r="I11" s="343"/>
      <c r="J11" s="343"/>
      <c r="K11" s="8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13.9" customHeight="1">
      <c r="A12" s="339" t="s">
        <v>39</v>
      </c>
      <c r="B12" s="339"/>
      <c r="C12" s="339"/>
      <c r="D12" s="339"/>
      <c r="E12" s="339"/>
      <c r="F12" s="353">
        <v>0</v>
      </c>
      <c r="G12" s="354"/>
      <c r="H12" s="354"/>
      <c r="I12" s="354"/>
      <c r="J12" s="355"/>
      <c r="K12" s="8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13.9" customHeight="1">
      <c r="A13" s="339" t="s">
        <v>40</v>
      </c>
      <c r="B13" s="339"/>
      <c r="C13" s="339"/>
      <c r="D13" s="339"/>
      <c r="E13" s="339"/>
      <c r="F13" s="105">
        <v>30</v>
      </c>
      <c r="G13" s="344" t="s">
        <v>41</v>
      </c>
      <c r="H13" s="344"/>
      <c r="I13" s="344"/>
      <c r="J13" s="344"/>
      <c r="K13" s="8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7.1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8"/>
    </row>
    <row r="15" spans="1:20" ht="15" customHeight="1">
      <c r="A15" s="340" t="s">
        <v>42</v>
      </c>
      <c r="B15" s="340"/>
      <c r="C15" s="340"/>
      <c r="D15" s="340"/>
      <c r="E15" s="340"/>
      <c r="F15" s="340"/>
      <c r="G15" s="340"/>
      <c r="H15" s="340"/>
      <c r="I15" s="340"/>
      <c r="J15" s="58" t="s">
        <v>43</v>
      </c>
      <c r="K15" s="8"/>
    </row>
    <row r="16" spans="1:20" ht="15" customHeight="1">
      <c r="A16" s="59">
        <v>1</v>
      </c>
      <c r="B16" s="330" t="s">
        <v>44</v>
      </c>
      <c r="C16" s="331"/>
      <c r="D16" s="331"/>
      <c r="E16" s="331"/>
      <c r="F16" s="331"/>
      <c r="G16" s="331"/>
      <c r="H16" s="331"/>
      <c r="I16" s="332"/>
      <c r="J16" s="3">
        <f>IF($F$12&gt;0%,0,20%)</f>
        <v>0.2</v>
      </c>
      <c r="K16" s="8"/>
    </row>
    <row r="17" spans="1:14" ht="15" customHeight="1">
      <c r="A17" s="59">
        <v>2</v>
      </c>
      <c r="B17" s="330" t="s">
        <v>45</v>
      </c>
      <c r="C17" s="331"/>
      <c r="D17" s="331"/>
      <c r="E17" s="331"/>
      <c r="F17" s="331"/>
      <c r="G17" s="331"/>
      <c r="H17" s="331"/>
      <c r="I17" s="332"/>
      <c r="J17" s="3">
        <f>IF($F$6="Simples Nacional",0,IF($F$6&lt;&gt;"",1.5%,"Informar regime tributário"))</f>
        <v>1.4999999999999999E-2</v>
      </c>
      <c r="K17" s="8"/>
      <c r="L17" s="270"/>
    </row>
    <row r="18" spans="1:14" ht="15" customHeight="1">
      <c r="A18" s="59">
        <v>3</v>
      </c>
      <c r="B18" s="330" t="s">
        <v>46</v>
      </c>
      <c r="C18" s="331"/>
      <c r="D18" s="331"/>
      <c r="E18" s="331"/>
      <c r="F18" s="331"/>
      <c r="G18" s="331"/>
      <c r="H18" s="331"/>
      <c r="I18" s="332"/>
      <c r="J18" s="3">
        <f>IF($F$6="Simples Nacional",0,IF($F$6&lt;&gt;"",1%,"Informar regime tributário"))</f>
        <v>0.01</v>
      </c>
      <c r="K18" s="8"/>
    </row>
    <row r="19" spans="1:14" ht="15" customHeight="1">
      <c r="A19" s="59">
        <v>4</v>
      </c>
      <c r="B19" s="330" t="s">
        <v>47</v>
      </c>
      <c r="C19" s="331"/>
      <c r="D19" s="331"/>
      <c r="E19" s="331"/>
      <c r="F19" s="331"/>
      <c r="G19" s="331"/>
      <c r="H19" s="331"/>
      <c r="I19" s="332"/>
      <c r="J19" s="3">
        <f>IF($F$6="Simples Nacional",0,IF($F$6&lt;&gt;"",0.2%,"Informar regime tributário"))</f>
        <v>2E-3</v>
      </c>
      <c r="K19" s="8"/>
    </row>
    <row r="20" spans="1:14" ht="15" customHeight="1">
      <c r="A20" s="59">
        <v>5</v>
      </c>
      <c r="B20" s="330" t="s">
        <v>48</v>
      </c>
      <c r="C20" s="331"/>
      <c r="D20" s="331"/>
      <c r="E20" s="331"/>
      <c r="F20" s="331"/>
      <c r="G20" s="331"/>
      <c r="H20" s="331"/>
      <c r="I20" s="332"/>
      <c r="J20" s="3">
        <f>IF($F$6="Simples Nacional",0,IF($F$6&lt;&gt;"",2.5%,"Informar regime tributário"))</f>
        <v>2.5000000000000001E-2</v>
      </c>
      <c r="K20" s="8"/>
    </row>
    <row r="21" spans="1:14" ht="15" customHeight="1">
      <c r="A21" s="59">
        <v>6</v>
      </c>
      <c r="B21" s="330" t="s">
        <v>49</v>
      </c>
      <c r="C21" s="331"/>
      <c r="D21" s="331"/>
      <c r="E21" s="331"/>
      <c r="F21" s="331"/>
      <c r="G21" s="331"/>
      <c r="H21" s="331"/>
      <c r="I21" s="332"/>
      <c r="J21" s="3">
        <v>0.08</v>
      </c>
      <c r="K21" s="8"/>
    </row>
    <row r="22" spans="1:14" ht="15" customHeight="1">
      <c r="A22" s="59">
        <v>7</v>
      </c>
      <c r="B22" s="330" t="s">
        <v>50</v>
      </c>
      <c r="C22" s="331"/>
      <c r="D22" s="331"/>
      <c r="E22" s="331"/>
      <c r="F22" s="331"/>
      <c r="G22" s="331"/>
      <c r="H22" s="331"/>
      <c r="I22" s="332"/>
      <c r="J22" s="3">
        <f>IF(A7=0,"Informar SAT",$F$7)</f>
        <v>0.03</v>
      </c>
      <c r="K22" s="8"/>
    </row>
    <row r="23" spans="1:14" ht="15" customHeight="1">
      <c r="A23" s="59">
        <v>8</v>
      </c>
      <c r="B23" s="330" t="s">
        <v>51</v>
      </c>
      <c r="C23" s="331"/>
      <c r="D23" s="331"/>
      <c r="E23" s="331"/>
      <c r="F23" s="331"/>
      <c r="G23" s="331"/>
      <c r="H23" s="331"/>
      <c r="I23" s="332"/>
      <c r="J23" s="3">
        <f>IF($F$6="Simples Nacional",0,IF($F$6&lt;&gt;"",0.6%,"Informar regime tributário"))</f>
        <v>6.0000000000000001E-3</v>
      </c>
      <c r="K23" s="8"/>
    </row>
    <row r="24" spans="1:14" ht="15" customHeight="1">
      <c r="A24" s="335" t="s">
        <v>52</v>
      </c>
      <c r="B24" s="336"/>
      <c r="C24" s="336"/>
      <c r="D24" s="336"/>
      <c r="E24" s="336"/>
      <c r="F24" s="336"/>
      <c r="G24" s="336"/>
      <c r="H24" s="336"/>
      <c r="I24" s="337"/>
      <c r="J24" s="60">
        <f>SUM(J16:J23)</f>
        <v>0.3680000000000001</v>
      </c>
      <c r="K24" s="8"/>
    </row>
    <row r="25" spans="1:14" ht="7.1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8"/>
    </row>
    <row r="26" spans="1:14" ht="15" customHeight="1">
      <c r="A26" s="340" t="s">
        <v>53</v>
      </c>
      <c r="B26" s="340"/>
      <c r="C26" s="340"/>
      <c r="D26" s="340"/>
      <c r="E26" s="340"/>
      <c r="F26" s="340"/>
      <c r="G26" s="340"/>
      <c r="H26" s="340"/>
      <c r="I26" s="340"/>
      <c r="J26" s="340"/>
      <c r="K26" s="8"/>
    </row>
    <row r="27" spans="1:14" ht="15" customHeight="1">
      <c r="A27" s="59">
        <v>1</v>
      </c>
      <c r="B27" s="330" t="s">
        <v>54</v>
      </c>
      <c r="C27" s="331"/>
      <c r="D27" s="331"/>
      <c r="E27" s="331"/>
      <c r="F27" s="331"/>
      <c r="G27" s="331"/>
      <c r="H27" s="331"/>
      <c r="I27" s="332"/>
      <c r="J27" s="3">
        <f>ROUND(5/56,4)</f>
        <v>8.9300000000000004E-2</v>
      </c>
      <c r="K27" s="8"/>
    </row>
    <row r="28" spans="1:14" ht="15" customHeight="1">
      <c r="A28" s="59">
        <v>2</v>
      </c>
      <c r="B28" s="330" t="s">
        <v>55</v>
      </c>
      <c r="C28" s="331"/>
      <c r="D28" s="331"/>
      <c r="E28" s="331"/>
      <c r="F28" s="331"/>
      <c r="G28" s="331"/>
      <c r="H28" s="331"/>
      <c r="I28" s="332"/>
      <c r="J28" s="3">
        <f>ROUND(J27/3,4)</f>
        <v>2.98E-2</v>
      </c>
      <c r="K28" s="8"/>
    </row>
    <row r="29" spans="1:14" ht="15" customHeight="1">
      <c r="A29" s="59">
        <v>3</v>
      </c>
      <c r="B29" s="330" t="s">
        <v>56</v>
      </c>
      <c r="C29" s="331"/>
      <c r="D29" s="331"/>
      <c r="E29" s="331"/>
      <c r="F29" s="331"/>
      <c r="G29" s="331"/>
      <c r="H29" s="331"/>
      <c r="I29" s="332"/>
      <c r="J29" s="3">
        <f>ROUND((J27+J28)*J24,4)</f>
        <v>4.3799999999999999E-2</v>
      </c>
      <c r="K29" s="8"/>
    </row>
    <row r="30" spans="1:14" ht="15" customHeight="1">
      <c r="A30" s="335" t="s">
        <v>57</v>
      </c>
      <c r="B30" s="336"/>
      <c r="C30" s="336"/>
      <c r="D30" s="336"/>
      <c r="E30" s="336"/>
      <c r="F30" s="336"/>
      <c r="G30" s="336"/>
      <c r="H30" s="336"/>
      <c r="I30" s="337"/>
      <c r="J30" s="60">
        <f>SUM(J27:J29)</f>
        <v>0.16290000000000002</v>
      </c>
      <c r="K30" s="8"/>
    </row>
    <row r="31" spans="1:14" ht="7.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8"/>
    </row>
    <row r="32" spans="1:14" ht="15" customHeight="1">
      <c r="A32" s="340" t="s">
        <v>58</v>
      </c>
      <c r="B32" s="340"/>
      <c r="C32" s="340"/>
      <c r="D32" s="340"/>
      <c r="E32" s="340"/>
      <c r="F32" s="340"/>
      <c r="G32" s="340"/>
      <c r="H32" s="340"/>
      <c r="I32" s="340"/>
      <c r="J32" s="340"/>
      <c r="K32" s="8"/>
      <c r="M32" s="61"/>
      <c r="N32" s="61"/>
    </row>
    <row r="33" spans="1:13" ht="15" customHeight="1">
      <c r="A33" s="59">
        <v>1</v>
      </c>
      <c r="B33" s="330" t="s">
        <v>59</v>
      </c>
      <c r="C33" s="331"/>
      <c r="D33" s="331"/>
      <c r="E33" s="331"/>
      <c r="F33" s="331"/>
      <c r="G33" s="331"/>
      <c r="H33" s="331"/>
      <c r="I33" s="332"/>
      <c r="J33" s="3">
        <f>ROUND(0.00108,4)</f>
        <v>1.1000000000000001E-3</v>
      </c>
      <c r="K33" s="8"/>
      <c r="M33" s="62"/>
    </row>
    <row r="34" spans="1:13" ht="15" customHeight="1">
      <c r="A34" s="59">
        <v>2</v>
      </c>
      <c r="B34" s="330" t="s">
        <v>56</v>
      </c>
      <c r="C34" s="331"/>
      <c r="D34" s="331"/>
      <c r="E34" s="331"/>
      <c r="F34" s="331"/>
      <c r="G34" s="331"/>
      <c r="H34" s="331"/>
      <c r="I34" s="332"/>
      <c r="J34" s="3">
        <f>ROUND(J33*$J$24,4)</f>
        <v>4.0000000000000002E-4</v>
      </c>
      <c r="K34" s="8"/>
    </row>
    <row r="35" spans="1:13" ht="15" customHeight="1">
      <c r="A35" s="335" t="s">
        <v>60</v>
      </c>
      <c r="B35" s="336"/>
      <c r="C35" s="336"/>
      <c r="D35" s="336"/>
      <c r="E35" s="336"/>
      <c r="F35" s="336"/>
      <c r="G35" s="336"/>
      <c r="H35" s="336"/>
      <c r="I35" s="337"/>
      <c r="J35" s="60">
        <f>SUM(J33:J34)</f>
        <v>1.5E-3</v>
      </c>
      <c r="K35" s="8"/>
    </row>
    <row r="36" spans="1:13" ht="7.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8"/>
    </row>
    <row r="37" spans="1:13" ht="15" customHeight="1">
      <c r="A37" s="340" t="s">
        <v>61</v>
      </c>
      <c r="B37" s="340"/>
      <c r="C37" s="340"/>
      <c r="D37" s="340"/>
      <c r="E37" s="340"/>
      <c r="F37" s="340"/>
      <c r="G37" s="340"/>
      <c r="H37" s="340"/>
      <c r="I37" s="340"/>
      <c r="J37" s="340"/>
      <c r="K37" s="8"/>
      <c r="M37" s="63"/>
    </row>
    <row r="38" spans="1:13" ht="15" customHeight="1">
      <c r="A38" s="59">
        <v>1</v>
      </c>
      <c r="B38" s="330" t="s">
        <v>62</v>
      </c>
      <c r="C38" s="331"/>
      <c r="D38" s="331"/>
      <c r="E38" s="331"/>
      <c r="F38" s="331"/>
      <c r="G38" s="331"/>
      <c r="H38" s="331"/>
      <c r="I38" s="332"/>
      <c r="J38" s="3">
        <f>ROUND(1/12*5%,4)</f>
        <v>4.1999999999999997E-3</v>
      </c>
      <c r="K38" s="64"/>
      <c r="M38" s="65"/>
    </row>
    <row r="39" spans="1:13" ht="15" customHeight="1">
      <c r="A39" s="59">
        <v>2</v>
      </c>
      <c r="B39" s="330" t="s">
        <v>63</v>
      </c>
      <c r="C39" s="331"/>
      <c r="D39" s="331"/>
      <c r="E39" s="331"/>
      <c r="F39" s="331"/>
      <c r="G39" s="331"/>
      <c r="H39" s="331"/>
      <c r="I39" s="332"/>
      <c r="J39" s="3">
        <f>ROUND(J38*$J$21,4)</f>
        <v>2.9999999999999997E-4</v>
      </c>
      <c r="K39" s="8"/>
      <c r="M39" s="63"/>
    </row>
    <row r="40" spans="1:13" ht="15" customHeight="1">
      <c r="A40" s="59">
        <v>3</v>
      </c>
      <c r="B40" s="330" t="s">
        <v>64</v>
      </c>
      <c r="C40" s="331"/>
      <c r="D40" s="331"/>
      <c r="E40" s="331"/>
      <c r="F40" s="331"/>
      <c r="G40" s="331"/>
      <c r="H40" s="331"/>
      <c r="I40" s="332"/>
      <c r="J40" s="3">
        <f>ROUND(J39*40%,4)</f>
        <v>1E-4</v>
      </c>
      <c r="K40" s="8"/>
      <c r="M40" s="65"/>
    </row>
    <row r="41" spans="1:13" ht="15" customHeight="1">
      <c r="A41" s="59">
        <v>4</v>
      </c>
      <c r="B41" s="330" t="s">
        <v>65</v>
      </c>
      <c r="C41" s="331"/>
      <c r="D41" s="331"/>
      <c r="E41" s="331"/>
      <c r="F41" s="331"/>
      <c r="G41" s="331"/>
      <c r="H41" s="331"/>
      <c r="I41" s="332"/>
      <c r="J41" s="3">
        <f>ROUND(1/30/12*7*2%,4)</f>
        <v>4.0000000000000002E-4</v>
      </c>
      <c r="K41" s="8"/>
      <c r="M41" s="63"/>
    </row>
    <row r="42" spans="1:13" ht="15" customHeight="1">
      <c r="A42" s="59">
        <v>5</v>
      </c>
      <c r="B42" s="330" t="s">
        <v>66</v>
      </c>
      <c r="C42" s="331"/>
      <c r="D42" s="331"/>
      <c r="E42" s="331"/>
      <c r="F42" s="331"/>
      <c r="G42" s="331"/>
      <c r="H42" s="331"/>
      <c r="I42" s="332"/>
      <c r="J42" s="3">
        <f>ROUND(J41*$J$24,4)</f>
        <v>1E-4</v>
      </c>
      <c r="K42" s="8"/>
    </row>
    <row r="43" spans="1:13" ht="15" customHeight="1">
      <c r="A43" s="59">
        <v>6</v>
      </c>
      <c r="B43" s="330" t="s">
        <v>67</v>
      </c>
      <c r="C43" s="331"/>
      <c r="D43" s="331"/>
      <c r="E43" s="331"/>
      <c r="F43" s="331"/>
      <c r="G43" s="331"/>
      <c r="H43" s="331"/>
      <c r="I43" s="332"/>
      <c r="J43" s="3">
        <f>ROUND(J41*8%*40%,4)</f>
        <v>0</v>
      </c>
      <c r="K43" s="8"/>
    </row>
    <row r="44" spans="1:13" ht="15" customHeight="1">
      <c r="A44" s="59">
        <v>7</v>
      </c>
      <c r="B44" s="330" t="s">
        <v>68</v>
      </c>
      <c r="C44" s="331"/>
      <c r="D44" s="331"/>
      <c r="E44" s="331"/>
      <c r="F44" s="331"/>
      <c r="G44" s="331"/>
      <c r="H44" s="331"/>
      <c r="I44" s="332"/>
      <c r="J44" s="66">
        <f>ROUND((1%*(1/12)),4)</f>
        <v>8.0000000000000004E-4</v>
      </c>
      <c r="K44" s="8"/>
    </row>
    <row r="45" spans="1:13" ht="15" customHeight="1">
      <c r="A45" s="335" t="s">
        <v>69</v>
      </c>
      <c r="B45" s="336"/>
      <c r="C45" s="336"/>
      <c r="D45" s="336"/>
      <c r="E45" s="336"/>
      <c r="F45" s="336"/>
      <c r="G45" s="336"/>
      <c r="H45" s="336"/>
      <c r="I45" s="337"/>
      <c r="J45" s="60">
        <f>SUM(J38:J44)</f>
        <v>5.9000000000000007E-3</v>
      </c>
      <c r="K45" s="8"/>
    </row>
    <row r="46" spans="1:13" ht="7.1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8"/>
    </row>
    <row r="47" spans="1:13" ht="15" customHeight="1">
      <c r="A47" s="340" t="s">
        <v>70</v>
      </c>
      <c r="B47" s="340"/>
      <c r="C47" s="340"/>
      <c r="D47" s="340"/>
      <c r="E47" s="340"/>
      <c r="F47" s="340"/>
      <c r="G47" s="340"/>
      <c r="H47" s="340"/>
      <c r="I47" s="340"/>
      <c r="J47" s="340"/>
      <c r="K47" s="8"/>
    </row>
    <row r="48" spans="1:13" ht="15" customHeight="1">
      <c r="A48" s="59">
        <v>1</v>
      </c>
      <c r="B48" s="330" t="s">
        <v>71</v>
      </c>
      <c r="C48" s="331"/>
      <c r="D48" s="331"/>
      <c r="E48" s="331"/>
      <c r="F48" s="331"/>
      <c r="G48" s="331"/>
      <c r="H48" s="331"/>
      <c r="I48" s="332"/>
      <c r="J48" s="3">
        <f>ROUND(1*8%*40%*90%,4)</f>
        <v>2.8799999999999999E-2</v>
      </c>
      <c r="K48" s="8"/>
    </row>
    <row r="49" spans="1:14" ht="15" customHeight="1">
      <c r="A49" s="59">
        <v>2</v>
      </c>
      <c r="B49" s="330" t="s">
        <v>72</v>
      </c>
      <c r="C49" s="331"/>
      <c r="D49" s="331"/>
      <c r="E49" s="331"/>
      <c r="F49" s="331"/>
      <c r="G49" s="331"/>
      <c r="H49" s="331"/>
      <c r="I49" s="332"/>
      <c r="J49" s="3">
        <f>ROUND(($J$27+$J$28)*8%*40%*90%,4)</f>
        <v>3.3999999999999998E-3</v>
      </c>
      <c r="K49" s="55"/>
    </row>
    <row r="50" spans="1:14" ht="15" customHeight="1">
      <c r="A50" s="59">
        <v>3</v>
      </c>
      <c r="B50" s="330" t="s">
        <v>73</v>
      </c>
      <c r="C50" s="331"/>
      <c r="D50" s="331"/>
      <c r="E50" s="331"/>
      <c r="F50" s="331"/>
      <c r="G50" s="331"/>
      <c r="H50" s="331"/>
      <c r="I50" s="332"/>
      <c r="J50" s="3">
        <f>ROUND(J27*8%*40%*90%,4)</f>
        <v>2.5999999999999999E-3</v>
      </c>
      <c r="K50" s="8"/>
    </row>
    <row r="51" spans="1:14" ht="15" customHeight="1">
      <c r="A51" s="335" t="s">
        <v>74</v>
      </c>
      <c r="B51" s="336"/>
      <c r="C51" s="336"/>
      <c r="D51" s="336"/>
      <c r="E51" s="336"/>
      <c r="F51" s="336"/>
      <c r="G51" s="336"/>
      <c r="H51" s="336"/>
      <c r="I51" s="337"/>
      <c r="J51" s="60">
        <f>SUM(J48:J50)</f>
        <v>3.4799999999999998E-2</v>
      </c>
      <c r="K51" s="8"/>
    </row>
    <row r="52" spans="1:14" ht="7.1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8"/>
    </row>
    <row r="53" spans="1:14" ht="15" customHeight="1">
      <c r="A53" s="340" t="s">
        <v>75</v>
      </c>
      <c r="B53" s="340"/>
      <c r="C53" s="340"/>
      <c r="D53" s="340"/>
      <c r="E53" s="340"/>
      <c r="F53" s="340"/>
      <c r="G53" s="340"/>
      <c r="H53" s="340"/>
      <c r="I53" s="340"/>
      <c r="J53" s="340"/>
      <c r="K53" s="8"/>
    </row>
    <row r="54" spans="1:14" ht="13.9" customHeight="1">
      <c r="A54" s="59">
        <v>1</v>
      </c>
      <c r="B54" s="330" t="s">
        <v>76</v>
      </c>
      <c r="C54" s="331"/>
      <c r="D54" s="331"/>
      <c r="E54" s="331"/>
      <c r="F54" s="331"/>
      <c r="G54" s="331"/>
      <c r="H54" s="331"/>
      <c r="I54" s="332"/>
      <c r="J54" s="3">
        <f>J27</f>
        <v>8.9300000000000004E-2</v>
      </c>
      <c r="K54" s="8"/>
    </row>
    <row r="55" spans="1:14" ht="13.9" customHeight="1">
      <c r="A55" s="59">
        <v>2</v>
      </c>
      <c r="B55" s="330" t="s">
        <v>77</v>
      </c>
      <c r="C55" s="331"/>
      <c r="D55" s="331"/>
      <c r="E55" s="331"/>
      <c r="F55" s="331"/>
      <c r="G55" s="331"/>
      <c r="H55" s="331"/>
      <c r="I55" s="332"/>
      <c r="J55" s="3">
        <f>ROUND((5.96/30)/12,4)</f>
        <v>1.66E-2</v>
      </c>
      <c r="K55" s="8"/>
    </row>
    <row r="56" spans="1:14" ht="13.9" customHeight="1">
      <c r="A56" s="59">
        <v>3</v>
      </c>
      <c r="B56" s="330" t="s">
        <v>78</v>
      </c>
      <c r="C56" s="331"/>
      <c r="D56" s="331"/>
      <c r="E56" s="331"/>
      <c r="F56" s="331"/>
      <c r="G56" s="331"/>
      <c r="H56" s="331"/>
      <c r="I56" s="332"/>
      <c r="J56" s="3">
        <f>ROUND(5/30/12*1.5%,4)</f>
        <v>2.0000000000000001E-4</v>
      </c>
      <c r="K56" s="8"/>
    </row>
    <row r="57" spans="1:14" ht="13.9" customHeight="1">
      <c r="A57" s="59">
        <v>4</v>
      </c>
      <c r="B57" s="330" t="s">
        <v>79</v>
      </c>
      <c r="C57" s="331"/>
      <c r="D57" s="331"/>
      <c r="E57" s="331"/>
      <c r="F57" s="331"/>
      <c r="G57" s="331"/>
      <c r="H57" s="331"/>
      <c r="I57" s="332"/>
      <c r="J57" s="3">
        <f>ROUND(2.96/360,4)</f>
        <v>8.2000000000000007E-3</v>
      </c>
      <c r="K57" s="8"/>
    </row>
    <row r="58" spans="1:14" ht="13.9" customHeight="1">
      <c r="A58" s="59">
        <v>5</v>
      </c>
      <c r="B58" s="330" t="s">
        <v>80</v>
      </c>
      <c r="C58" s="331"/>
      <c r="D58" s="331"/>
      <c r="E58" s="331"/>
      <c r="F58" s="331"/>
      <c r="G58" s="331"/>
      <c r="H58" s="331"/>
      <c r="I58" s="332"/>
      <c r="J58" s="3">
        <f>ROUND((15/30)/12*0.78%,4)</f>
        <v>2.9999999999999997E-4</v>
      </c>
      <c r="K58" s="8"/>
    </row>
    <row r="59" spans="1:14" ht="13.9" customHeight="1">
      <c r="A59" s="59">
        <v>6</v>
      </c>
      <c r="B59" s="330" t="s">
        <v>56</v>
      </c>
      <c r="C59" s="331"/>
      <c r="D59" s="331"/>
      <c r="E59" s="331"/>
      <c r="F59" s="331"/>
      <c r="G59" s="331"/>
      <c r="H59" s="331"/>
      <c r="I59" s="332"/>
      <c r="J59" s="3">
        <f>ROUND(SUM(J54:J58)*$J$24,4)</f>
        <v>4.2200000000000001E-2</v>
      </c>
      <c r="K59" s="8"/>
    </row>
    <row r="60" spans="1:14" ht="15" customHeight="1">
      <c r="A60" s="335" t="s">
        <v>81</v>
      </c>
      <c r="B60" s="336"/>
      <c r="C60" s="336"/>
      <c r="D60" s="336"/>
      <c r="E60" s="336"/>
      <c r="F60" s="336"/>
      <c r="G60" s="336"/>
      <c r="H60" s="336"/>
      <c r="I60" s="337"/>
      <c r="J60" s="60">
        <f>SUM(J54:J59)</f>
        <v>0.15679999999999999</v>
      </c>
      <c r="K60" s="8"/>
    </row>
    <row r="61" spans="1:14" ht="7.1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8"/>
    </row>
    <row r="62" spans="1:14" ht="15" customHeight="1">
      <c r="A62" s="334" t="s">
        <v>82</v>
      </c>
      <c r="B62" s="334"/>
      <c r="C62" s="334"/>
      <c r="D62" s="334"/>
      <c r="E62" s="334"/>
      <c r="F62" s="334"/>
      <c r="G62" s="334"/>
      <c r="H62" s="334"/>
      <c r="I62" s="334"/>
      <c r="J62" s="67">
        <f>J60+J51+J45+J35+J30+J24</f>
        <v>0.7299000000000001</v>
      </c>
      <c r="K62" s="8"/>
    </row>
    <row r="63" spans="1:14" ht="7.1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8"/>
    </row>
    <row r="64" spans="1:14" ht="15" customHeight="1">
      <c r="A64" s="333" t="s">
        <v>83</v>
      </c>
      <c r="B64" s="333"/>
      <c r="C64" s="333"/>
      <c r="D64" s="333"/>
      <c r="E64" s="333"/>
      <c r="F64" s="333"/>
      <c r="G64" s="333"/>
      <c r="H64" s="333"/>
      <c r="I64" s="333"/>
      <c r="J64" s="333"/>
      <c r="K64" s="8"/>
      <c r="L64" s="56"/>
      <c r="N64" s="9"/>
    </row>
    <row r="65" spans="1:16" ht="15" customHeight="1">
      <c r="A65" s="59">
        <v>1</v>
      </c>
      <c r="B65" s="320" t="s">
        <v>73</v>
      </c>
      <c r="C65" s="321"/>
      <c r="D65" s="321"/>
      <c r="E65" s="321"/>
      <c r="F65" s="321"/>
      <c r="G65" s="321"/>
      <c r="H65" s="321"/>
      <c r="I65" s="322"/>
      <c r="J65" s="3">
        <f>J27</f>
        <v>8.9300000000000004E-2</v>
      </c>
      <c r="K65" s="68"/>
      <c r="L65" s="56"/>
      <c r="M65" s="9"/>
      <c r="N65" s="9"/>
    </row>
    <row r="66" spans="1:16" ht="15" customHeight="1">
      <c r="A66" s="59">
        <v>2</v>
      </c>
      <c r="B66" s="320" t="s">
        <v>76</v>
      </c>
      <c r="C66" s="321"/>
      <c r="D66" s="321"/>
      <c r="E66" s="321"/>
      <c r="F66" s="321"/>
      <c r="G66" s="321"/>
      <c r="H66" s="321"/>
      <c r="I66" s="322"/>
      <c r="J66" s="3">
        <f>J54</f>
        <v>8.9300000000000004E-2</v>
      </c>
      <c r="K66" s="68"/>
      <c r="L66" s="56"/>
      <c r="M66" s="9"/>
      <c r="N66" s="9"/>
    </row>
    <row r="67" spans="1:16" ht="15" customHeight="1">
      <c r="A67" s="59">
        <v>3</v>
      </c>
      <c r="B67" s="320" t="s">
        <v>84</v>
      </c>
      <c r="C67" s="321"/>
      <c r="D67" s="321"/>
      <c r="E67" s="321"/>
      <c r="F67" s="321"/>
      <c r="G67" s="321"/>
      <c r="H67" s="321"/>
      <c r="I67" s="322"/>
      <c r="J67" s="3">
        <f>J28</f>
        <v>2.98E-2</v>
      </c>
      <c r="K67" s="68"/>
      <c r="L67" s="56"/>
      <c r="M67" s="9"/>
      <c r="N67" s="9"/>
    </row>
    <row r="68" spans="1:16" ht="15" customHeight="1">
      <c r="A68" s="59">
        <v>4</v>
      </c>
      <c r="B68" s="320" t="s">
        <v>85</v>
      </c>
      <c r="C68" s="321"/>
      <c r="D68" s="321"/>
      <c r="E68" s="321"/>
      <c r="F68" s="321"/>
      <c r="G68" s="321"/>
      <c r="H68" s="321"/>
      <c r="I68" s="69">
        <f>J24</f>
        <v>0.3680000000000001</v>
      </c>
      <c r="J68" s="3">
        <f>ROUND(I68*SUM(J65:J67),4)</f>
        <v>7.6700000000000004E-2</v>
      </c>
      <c r="K68" s="68"/>
      <c r="L68" s="56"/>
      <c r="M68" s="9"/>
      <c r="N68" s="9"/>
    </row>
    <row r="69" spans="1:16" ht="15" customHeight="1">
      <c r="A69" s="59">
        <v>5</v>
      </c>
      <c r="B69" s="320" t="s">
        <v>86</v>
      </c>
      <c r="C69" s="321"/>
      <c r="D69" s="321"/>
      <c r="E69" s="321"/>
      <c r="F69" s="321"/>
      <c r="G69" s="321"/>
      <c r="H69" s="321"/>
      <c r="I69" s="322"/>
      <c r="J69" s="3">
        <f>J51</f>
        <v>3.4799999999999998E-2</v>
      </c>
      <c r="K69" s="8"/>
      <c r="L69" s="56"/>
      <c r="N69" s="9"/>
    </row>
    <row r="70" spans="1:16" ht="15" customHeight="1">
      <c r="A70" s="334" t="s">
        <v>87</v>
      </c>
      <c r="B70" s="334"/>
      <c r="C70" s="334"/>
      <c r="D70" s="334"/>
      <c r="E70" s="334"/>
      <c r="F70" s="334"/>
      <c r="G70" s="334"/>
      <c r="H70" s="334"/>
      <c r="I70" s="334"/>
      <c r="J70" s="67">
        <f>SUM(J65:J69)</f>
        <v>0.31990000000000002</v>
      </c>
      <c r="K70" s="242"/>
      <c r="L70" s="239"/>
      <c r="M70" s="239"/>
      <c r="N70" s="238"/>
    </row>
    <row r="71" spans="1:16" ht="7.1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8"/>
      <c r="M71" s="239"/>
      <c r="N71" s="238"/>
    </row>
    <row r="72" spans="1:16" ht="15" customHeight="1">
      <c r="A72" s="333" t="s">
        <v>88</v>
      </c>
      <c r="B72" s="333"/>
      <c r="C72" s="333"/>
      <c r="D72" s="333"/>
      <c r="E72" s="333"/>
      <c r="F72" s="333"/>
      <c r="G72" s="333"/>
      <c r="H72" s="333"/>
      <c r="I72" s="333"/>
      <c r="J72" s="333"/>
      <c r="K72" s="238"/>
      <c r="L72" s="238"/>
      <c r="M72" s="238"/>
      <c r="N72" s="241"/>
    </row>
    <row r="73" spans="1:16" ht="15" customHeight="1">
      <c r="A73" s="59">
        <v>1</v>
      </c>
      <c r="B73" s="320" t="s">
        <v>89</v>
      </c>
      <c r="C73" s="321"/>
      <c r="D73" s="321"/>
      <c r="E73" s="321"/>
      <c r="F73" s="321"/>
      <c r="G73" s="321"/>
      <c r="H73" s="321"/>
      <c r="I73" s="322"/>
      <c r="J73" s="70">
        <v>30.44</v>
      </c>
      <c r="K73" s="235"/>
      <c r="L73" s="239"/>
      <c r="M73" s="245"/>
      <c r="N73" s="241"/>
    </row>
    <row r="74" spans="1:16" ht="15" customHeight="1">
      <c r="A74" s="59">
        <v>2</v>
      </c>
      <c r="B74" s="320" t="s">
        <v>90</v>
      </c>
      <c r="C74" s="321"/>
      <c r="D74" s="321"/>
      <c r="E74" s="321"/>
      <c r="F74" s="321"/>
      <c r="G74" s="321"/>
      <c r="H74" s="321"/>
      <c r="I74" s="322"/>
      <c r="J74" s="70">
        <v>21</v>
      </c>
      <c r="K74" s="236"/>
      <c r="L74" s="239"/>
      <c r="M74" s="241"/>
      <c r="N74" s="243"/>
    </row>
    <row r="75" spans="1:16" ht="15" customHeight="1">
      <c r="A75" s="59">
        <v>3</v>
      </c>
      <c r="B75" s="320" t="s">
        <v>91</v>
      </c>
      <c r="C75" s="321"/>
      <c r="D75" s="321"/>
      <c r="E75" s="321"/>
      <c r="F75" s="321"/>
      <c r="G75" s="321"/>
      <c r="H75" s="321"/>
      <c r="I75" s="322"/>
      <c r="J75" s="70">
        <v>31</v>
      </c>
      <c r="K75" s="237"/>
      <c r="L75" s="239"/>
      <c r="M75" s="238"/>
      <c r="N75" s="238"/>
    </row>
    <row r="76" spans="1:16" ht="15" customHeight="1">
      <c r="A76" s="59">
        <v>4</v>
      </c>
      <c r="B76" s="320" t="s">
        <v>92</v>
      </c>
      <c r="C76" s="321"/>
      <c r="D76" s="321"/>
      <c r="E76" s="321"/>
      <c r="F76" s="321"/>
      <c r="G76" s="321"/>
      <c r="H76" s="321"/>
      <c r="I76" s="322"/>
      <c r="J76" s="70">
        <v>21</v>
      </c>
      <c r="K76" s="235"/>
      <c r="L76" s="239"/>
      <c r="M76" s="239"/>
      <c r="N76" s="239"/>
      <c r="O76" s="56"/>
    </row>
    <row r="77" spans="1:16" ht="15" customHeight="1">
      <c r="A77" s="59">
        <v>5</v>
      </c>
      <c r="B77" s="320" t="s">
        <v>93</v>
      </c>
      <c r="C77" s="321"/>
      <c r="D77" s="321"/>
      <c r="E77" s="321"/>
      <c r="F77" s="321"/>
      <c r="G77" s="321"/>
      <c r="H77" s="321"/>
      <c r="I77" s="322"/>
      <c r="J77" s="71">
        <f>ROUND(1/(J73/2*12)*J73/2,6)</f>
        <v>8.3333000000000004E-2</v>
      </c>
      <c r="K77" s="68"/>
      <c r="L77" s="254"/>
      <c r="O77" s="56"/>
      <c r="P77" s="11"/>
    </row>
    <row r="78" spans="1:16" ht="15" customHeight="1">
      <c r="A78" s="59">
        <v>6</v>
      </c>
      <c r="B78" s="320" t="s">
        <v>94</v>
      </c>
      <c r="C78" s="321"/>
      <c r="D78" s="321"/>
      <c r="E78" s="321"/>
      <c r="F78" s="321"/>
      <c r="G78" s="321"/>
      <c r="H78" s="321"/>
      <c r="I78" s="322"/>
      <c r="J78" s="256">
        <f xml:space="preserve"> ROUND(1/(4.19*44) *$J$74 * (1+12/60),6)</f>
        <v>0.136689</v>
      </c>
      <c r="K78" s="56"/>
      <c r="L78" s="56"/>
      <c r="O78" s="56"/>
      <c r="P78" s="11"/>
    </row>
    <row r="79" spans="1:16" ht="15" customHeight="1">
      <c r="A79" s="59">
        <v>7</v>
      </c>
      <c r="B79" s="320" t="s">
        <v>95</v>
      </c>
      <c r="C79" s="321"/>
      <c r="D79" s="321"/>
      <c r="E79" s="321"/>
      <c r="F79" s="321"/>
      <c r="G79" s="321"/>
      <c r="H79" s="321"/>
      <c r="I79" s="322"/>
      <c r="J79" s="256">
        <f xml:space="preserve"> ROUND(1/(4.19*44) *$J$74,6)</f>
        <v>0.113908</v>
      </c>
      <c r="K79" s="56"/>
      <c r="L79" s="56"/>
      <c r="O79" s="56"/>
      <c r="P79" s="11">
        <f>N79*20.67</f>
        <v>0</v>
      </c>
    </row>
    <row r="80" spans="1:16" ht="15" customHeight="1">
      <c r="A80" s="59">
        <v>8</v>
      </c>
      <c r="B80" s="320" t="s">
        <v>96</v>
      </c>
      <c r="C80" s="321"/>
      <c r="D80" s="321"/>
      <c r="E80" s="321"/>
      <c r="F80" s="321"/>
      <c r="G80" s="321"/>
      <c r="H80" s="321"/>
      <c r="I80" s="322"/>
      <c r="J80" s="71">
        <f>ROUND(1/220*20%*J73/2*7,6)</f>
        <v>9.6854999999999997E-2</v>
      </c>
      <c r="K80" s="72"/>
      <c r="L80" s="255"/>
      <c r="M80" s="255"/>
      <c r="O80" s="56"/>
      <c r="P80" s="11"/>
    </row>
    <row r="81" spans="1:16" ht="15" customHeight="1">
      <c r="A81" s="59">
        <v>9</v>
      </c>
      <c r="B81" s="320" t="s">
        <v>97</v>
      </c>
      <c r="C81" s="321"/>
      <c r="D81" s="321"/>
      <c r="E81" s="321"/>
      <c r="F81" s="321"/>
      <c r="G81" s="321"/>
      <c r="H81" s="321"/>
      <c r="I81" s="322"/>
      <c r="J81" s="71">
        <f>ROUND(((1/220)*J73/2)*(1+20%),6)</f>
        <v>8.3017999999999995E-2</v>
      </c>
      <c r="K81" s="68"/>
      <c r="L81" s="56"/>
      <c r="O81" s="56"/>
      <c r="P81" s="11"/>
    </row>
    <row r="82" spans="1:16" ht="15" customHeight="1">
      <c r="A82" s="59">
        <v>10</v>
      </c>
      <c r="B82" s="320" t="s">
        <v>98</v>
      </c>
      <c r="C82" s="321"/>
      <c r="D82" s="321"/>
      <c r="E82" s="321"/>
      <c r="F82" s="321"/>
      <c r="G82" s="321"/>
      <c r="H82" s="321"/>
      <c r="I82" s="322"/>
      <c r="J82" s="71">
        <v>0.3</v>
      </c>
      <c r="K82" s="68"/>
      <c r="L82" s="56"/>
      <c r="O82" s="56"/>
    </row>
    <row r="83" spans="1:16" ht="15" customHeight="1">
      <c r="A83" s="59">
        <v>11</v>
      </c>
      <c r="B83" s="320" t="s">
        <v>99</v>
      </c>
      <c r="C83" s="321"/>
      <c r="D83" s="321"/>
      <c r="E83" s="321"/>
      <c r="F83" s="321"/>
      <c r="G83" s="321"/>
      <c r="H83" s="321"/>
      <c r="I83" s="322"/>
      <c r="J83" s="71">
        <f>ROUND(1/220*160%*J73/2,6)</f>
        <v>0.110691</v>
      </c>
      <c r="K83" s="68"/>
      <c r="L83" s="56"/>
      <c r="O83" s="56"/>
    </row>
    <row r="84" spans="1:16" ht="15" customHeight="1">
      <c r="A84" s="59">
        <v>12</v>
      </c>
      <c r="B84" s="320" t="s">
        <v>100</v>
      </c>
      <c r="C84" s="321"/>
      <c r="D84" s="321"/>
      <c r="E84" s="321"/>
      <c r="F84" s="321"/>
      <c r="G84" s="321"/>
      <c r="H84" s="321"/>
      <c r="I84" s="322"/>
      <c r="J84" s="71">
        <v>0.12</v>
      </c>
      <c r="K84" s="68"/>
      <c r="L84" s="56"/>
      <c r="O84" s="56"/>
    </row>
    <row r="85" spans="1:16" ht="15" customHeight="1">
      <c r="A85" s="59">
        <v>13</v>
      </c>
      <c r="B85" s="320" t="s">
        <v>101</v>
      </c>
      <c r="C85" s="321"/>
      <c r="D85" s="321"/>
      <c r="E85" s="321"/>
      <c r="F85" s="321"/>
      <c r="G85" s="321"/>
      <c r="H85" s="321"/>
      <c r="I85" s="322"/>
      <c r="J85" s="199">
        <v>0.6</v>
      </c>
      <c r="K85" s="56"/>
      <c r="L85" s="56"/>
      <c r="O85" s="56"/>
    </row>
    <row r="86" spans="1:16" ht="15" customHeight="1">
      <c r="A86" s="198">
        <v>14</v>
      </c>
      <c r="B86" s="320" t="s">
        <v>102</v>
      </c>
      <c r="C86" s="321"/>
      <c r="D86" s="321"/>
      <c r="E86" s="321"/>
      <c r="F86" s="321"/>
      <c r="G86" s="321"/>
      <c r="H86" s="321"/>
      <c r="I86" s="321"/>
      <c r="J86" s="70">
        <v>7.58</v>
      </c>
      <c r="K86" s="68"/>
      <c r="L86" s="56"/>
      <c r="M86" s="9"/>
      <c r="N86" s="9"/>
    </row>
    <row r="87" spans="1:16" ht="15" customHeight="1">
      <c r="A87" s="198">
        <v>15</v>
      </c>
      <c r="B87" s="320" t="s">
        <v>103</v>
      </c>
      <c r="C87" s="321"/>
      <c r="D87" s="321"/>
      <c r="E87" s="321"/>
      <c r="F87" s="321"/>
      <c r="G87" s="321"/>
      <c r="H87" s="321"/>
      <c r="I87" s="321"/>
      <c r="J87" s="70">
        <v>6.37</v>
      </c>
      <c r="K87" s="72"/>
      <c r="L87" s="56"/>
      <c r="M87" s="9"/>
      <c r="N87" s="9"/>
    </row>
    <row r="88" spans="1:16" ht="12">
      <c r="A88" s="57"/>
      <c r="B88" s="57"/>
      <c r="C88" s="57"/>
      <c r="D88" s="57"/>
      <c r="E88" s="57"/>
      <c r="F88" s="57"/>
      <c r="G88" s="57"/>
      <c r="H88" s="57"/>
      <c r="I88" s="57"/>
      <c r="J88" s="200"/>
      <c r="K88" s="8"/>
    </row>
    <row r="89" spans="1:16" ht="15" customHeight="1">
      <c r="A89" s="333" t="s">
        <v>104</v>
      </c>
      <c r="B89" s="333"/>
      <c r="C89" s="333"/>
      <c r="D89" s="333"/>
      <c r="E89" s="333"/>
      <c r="F89" s="333"/>
      <c r="G89" s="333"/>
      <c r="H89" s="333"/>
      <c r="I89" s="333"/>
      <c r="J89" s="333"/>
      <c r="M89" s="9"/>
      <c r="N89" s="9"/>
    </row>
    <row r="90" spans="1:16" ht="15" customHeight="1">
      <c r="A90" s="324" t="s">
        <v>71</v>
      </c>
      <c r="B90" s="325"/>
      <c r="C90" s="325"/>
      <c r="D90" s="325"/>
      <c r="E90" s="325"/>
      <c r="F90" s="325"/>
      <c r="G90" s="325"/>
      <c r="H90" s="325"/>
      <c r="I90" s="325"/>
      <c r="J90" s="326"/>
      <c r="K90" s="8"/>
      <c r="M90" s="9"/>
      <c r="N90" s="9"/>
    </row>
    <row r="91" spans="1:16" ht="15" customHeight="1">
      <c r="A91" s="59">
        <v>1</v>
      </c>
      <c r="B91" s="320" t="s">
        <v>105</v>
      </c>
      <c r="C91" s="321"/>
      <c r="D91" s="321"/>
      <c r="E91" s="321"/>
      <c r="F91" s="321"/>
      <c r="G91" s="321"/>
      <c r="H91" s="321"/>
      <c r="I91" s="322"/>
      <c r="J91" s="106">
        <v>2045.92</v>
      </c>
      <c r="K91" s="72"/>
      <c r="L91" s="56"/>
      <c r="M91" s="9"/>
      <c r="N91" s="9"/>
    </row>
    <row r="92" spans="1:16" ht="15" customHeight="1">
      <c r="A92" s="59">
        <v>2</v>
      </c>
      <c r="B92" s="320" t="s">
        <v>106</v>
      </c>
      <c r="C92" s="321"/>
      <c r="D92" s="321"/>
      <c r="E92" s="321"/>
      <c r="F92" s="321"/>
      <c r="G92" s="321"/>
      <c r="H92" s="321"/>
      <c r="I92" s="322"/>
      <c r="J92" s="70">
        <f>ROUND(J91*J82,2)</f>
        <v>613.78</v>
      </c>
      <c r="K92" s="72"/>
      <c r="L92" s="56"/>
      <c r="M92" s="9"/>
      <c r="N92" s="9"/>
    </row>
    <row r="93" spans="1:16" ht="15" customHeight="1">
      <c r="A93" s="59">
        <v>3</v>
      </c>
      <c r="B93" s="320" t="s">
        <v>96</v>
      </c>
      <c r="C93" s="321"/>
      <c r="D93" s="321"/>
      <c r="E93" s="321"/>
      <c r="F93" s="321"/>
      <c r="G93" s="321"/>
      <c r="H93" s="321"/>
      <c r="I93" s="322"/>
      <c r="J93" s="70">
        <f>ROUND((J91+J92)*J80,2)</f>
        <v>257.61</v>
      </c>
      <c r="K93" s="72"/>
      <c r="L93" s="56"/>
      <c r="M93" s="9"/>
      <c r="N93" s="9"/>
    </row>
    <row r="94" spans="1:16" ht="15" customHeight="1">
      <c r="A94" s="59">
        <v>4</v>
      </c>
      <c r="B94" s="320" t="s">
        <v>107</v>
      </c>
      <c r="C94" s="321"/>
      <c r="D94" s="321"/>
      <c r="E94" s="321"/>
      <c r="F94" s="321"/>
      <c r="G94" s="321"/>
      <c r="H94" s="321"/>
      <c r="I94" s="322"/>
      <c r="J94" s="70">
        <f>ROUND((J91+J92)*J81,2)</f>
        <v>220.8</v>
      </c>
      <c r="K94" s="72"/>
      <c r="L94" s="73"/>
      <c r="M94" s="9"/>
      <c r="N94" s="9"/>
    </row>
    <row r="95" spans="1:16" ht="15" customHeight="1">
      <c r="A95" s="59">
        <v>5</v>
      </c>
      <c r="B95" s="320" t="s">
        <v>99</v>
      </c>
      <c r="C95" s="321"/>
      <c r="D95" s="321"/>
      <c r="E95" s="321"/>
      <c r="F95" s="321"/>
      <c r="G95" s="321"/>
      <c r="H95" s="321"/>
      <c r="I95" s="322"/>
      <c r="J95" s="70">
        <f>ROUND((J91+J92)*$J$83,2)</f>
        <v>294.39999999999998</v>
      </c>
      <c r="K95" s="72"/>
      <c r="L95" s="56"/>
      <c r="M95" s="9"/>
      <c r="N95" s="9"/>
    </row>
    <row r="96" spans="1:16" ht="15" customHeight="1">
      <c r="A96" s="59">
        <v>6</v>
      </c>
      <c r="B96" s="320" t="s">
        <v>100</v>
      </c>
      <c r="C96" s="321"/>
      <c r="D96" s="321"/>
      <c r="E96" s="321"/>
      <c r="F96" s="321"/>
      <c r="G96" s="321"/>
      <c r="H96" s="321"/>
      <c r="I96" s="322"/>
      <c r="J96" s="70">
        <f>ROUND(J91*J84,2)</f>
        <v>245.51</v>
      </c>
      <c r="K96" s="72"/>
      <c r="L96" s="56"/>
      <c r="M96" s="9"/>
      <c r="N96" s="9"/>
    </row>
    <row r="97" spans="1:18" ht="15" customHeight="1">
      <c r="A97" s="324" t="s">
        <v>108</v>
      </c>
      <c r="B97" s="325"/>
      <c r="C97" s="325"/>
      <c r="D97" s="325"/>
      <c r="E97" s="325"/>
      <c r="F97" s="325"/>
      <c r="G97" s="325"/>
      <c r="H97" s="325"/>
      <c r="I97" s="325"/>
      <c r="J97" s="326"/>
      <c r="M97" s="9"/>
      <c r="N97" s="9"/>
    </row>
    <row r="98" spans="1:18" ht="13.9" customHeight="1">
      <c r="A98" s="59">
        <v>1</v>
      </c>
      <c r="B98" s="320" t="s">
        <v>109</v>
      </c>
      <c r="C98" s="321"/>
      <c r="D98" s="321"/>
      <c r="E98" s="322"/>
      <c r="F98" s="79" t="s">
        <v>110</v>
      </c>
      <c r="G98" s="106">
        <v>357.61</v>
      </c>
      <c r="H98" s="79" t="s">
        <v>111</v>
      </c>
      <c r="I98" s="106">
        <v>163.66999999999999</v>
      </c>
      <c r="J98" s="70">
        <f>G98-I98</f>
        <v>193.94000000000003</v>
      </c>
      <c r="M98" s="9"/>
      <c r="N98" s="9"/>
    </row>
    <row r="99" spans="1:18" ht="13.9" customHeight="1">
      <c r="A99" s="59">
        <v>2</v>
      </c>
      <c r="B99" s="320" t="s">
        <v>112</v>
      </c>
      <c r="C99" s="321"/>
      <c r="D99" s="321"/>
      <c r="E99" s="321"/>
      <c r="F99" s="321"/>
      <c r="G99" s="321"/>
      <c r="H99" s="321"/>
      <c r="I99" s="322"/>
      <c r="J99" s="106">
        <v>0.49</v>
      </c>
      <c r="M99" s="9"/>
      <c r="N99" s="9"/>
    </row>
    <row r="100" spans="1:18" ht="9.75" hidden="1" customHeight="1">
      <c r="A100" s="59"/>
      <c r="B100" s="320" t="s">
        <v>113</v>
      </c>
      <c r="C100" s="321"/>
      <c r="D100" s="321"/>
      <c r="E100" s="322"/>
      <c r="F100" s="79" t="s">
        <v>110</v>
      </c>
      <c r="G100" s="106"/>
      <c r="H100" s="79" t="s">
        <v>111</v>
      </c>
      <c r="I100" s="106"/>
      <c r="J100" s="70">
        <f>G100-I100</f>
        <v>0</v>
      </c>
      <c r="M100" s="9"/>
      <c r="N100" s="9"/>
    </row>
    <row r="101" spans="1:18" ht="13.9" customHeight="1">
      <c r="A101" s="59">
        <v>3</v>
      </c>
      <c r="B101" s="320" t="s">
        <v>114</v>
      </c>
      <c r="C101" s="321"/>
      <c r="D101" s="321"/>
      <c r="E101" s="321"/>
      <c r="F101" s="321"/>
      <c r="G101" s="321"/>
      <c r="H101" s="321"/>
      <c r="I101" s="322"/>
      <c r="J101" s="106">
        <v>5.95</v>
      </c>
      <c r="L101" s="90"/>
      <c r="M101" s="9"/>
      <c r="N101" s="9"/>
    </row>
    <row r="102" spans="1:18" ht="13.9" customHeight="1">
      <c r="A102" s="59">
        <v>4</v>
      </c>
      <c r="B102" s="320" t="s">
        <v>115</v>
      </c>
      <c r="C102" s="321"/>
      <c r="D102" s="321"/>
      <c r="E102" s="321"/>
      <c r="F102" s="321"/>
      <c r="G102" s="321"/>
      <c r="H102" s="321"/>
      <c r="I102" s="322"/>
      <c r="J102" s="106">
        <v>27.3</v>
      </c>
      <c r="L102" s="90"/>
      <c r="M102" s="9"/>
      <c r="N102" s="9"/>
    </row>
    <row r="103" spans="1:18" ht="13.9" customHeight="1">
      <c r="A103" s="59">
        <v>5</v>
      </c>
      <c r="B103" s="320" t="s">
        <v>116</v>
      </c>
      <c r="C103" s="321"/>
      <c r="D103" s="321"/>
      <c r="E103" s="322"/>
      <c r="F103" s="79" t="s">
        <v>117</v>
      </c>
      <c r="G103" s="106">
        <v>37</v>
      </c>
      <c r="H103" s="79" t="s">
        <v>111</v>
      </c>
      <c r="I103" s="106">
        <v>6.66</v>
      </c>
      <c r="J103" s="70">
        <f>G103-I103</f>
        <v>30.34</v>
      </c>
      <c r="K103" s="90"/>
      <c r="L103" s="90"/>
      <c r="M103" s="90"/>
      <c r="N103" s="9"/>
    </row>
    <row r="104" spans="1:18" ht="7.1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8"/>
      <c r="M104" s="197"/>
    </row>
    <row r="105" spans="1:18" ht="15" customHeight="1">
      <c r="A105" s="323" t="s">
        <v>118</v>
      </c>
      <c r="B105" s="323"/>
      <c r="C105" s="323"/>
      <c r="D105" s="323"/>
      <c r="E105" s="323"/>
      <c r="F105" s="323"/>
      <c r="G105" s="323"/>
      <c r="H105" s="323"/>
      <c r="I105" s="323"/>
      <c r="J105" s="323"/>
      <c r="K105" s="68"/>
      <c r="L105" s="56"/>
      <c r="O105" s="56"/>
      <c r="P105" s="56"/>
      <c r="Q105" s="56"/>
      <c r="R105" s="56"/>
    </row>
    <row r="106" spans="1:18" ht="72">
      <c r="A106" s="50" t="s">
        <v>119</v>
      </c>
      <c r="B106" s="51" t="s">
        <v>120</v>
      </c>
      <c r="C106" s="44" t="s">
        <v>121</v>
      </c>
      <c r="D106" s="44" t="s">
        <v>96</v>
      </c>
      <c r="E106" s="44" t="s">
        <v>122</v>
      </c>
      <c r="F106" s="44" t="s">
        <v>123</v>
      </c>
      <c r="G106" s="44" t="s">
        <v>124</v>
      </c>
      <c r="H106" s="44" t="s">
        <v>125</v>
      </c>
      <c r="I106" s="50" t="s">
        <v>126</v>
      </c>
      <c r="J106" s="50" t="s">
        <v>127</v>
      </c>
      <c r="K106" s="68"/>
      <c r="M106" s="9"/>
      <c r="N106" s="9"/>
    </row>
    <row r="107" spans="1:18" ht="36">
      <c r="A107" s="52">
        <v>680004</v>
      </c>
      <c r="B107" s="53" t="s">
        <v>128</v>
      </c>
      <c r="C107" s="4" t="s">
        <v>129</v>
      </c>
      <c r="D107" s="4" t="s">
        <v>130</v>
      </c>
      <c r="E107" s="249">
        <v>0</v>
      </c>
      <c r="F107" s="4">
        <v>2</v>
      </c>
      <c r="G107" s="244">
        <v>15.22</v>
      </c>
      <c r="H107" s="106">
        <v>84.31</v>
      </c>
      <c r="I107" s="225">
        <f>'Uniformes e EPIs'!$I$35/'Uniformes e EPIs'!$I$39</f>
        <v>40.059999999999995</v>
      </c>
      <c r="J107" s="225">
        <f>ROUND('Uniformes e EPIs'!$I$16/'Uniformes e EPIs'!$I$6,2)</f>
        <v>78.069999999999993</v>
      </c>
      <c r="K107" s="104"/>
      <c r="L107" s="90"/>
      <c r="M107" s="90"/>
      <c r="N107" s="9"/>
    </row>
    <row r="108" spans="1:18" ht="36">
      <c r="A108" s="74">
        <v>680011</v>
      </c>
      <c r="B108" s="53" t="s">
        <v>131</v>
      </c>
      <c r="C108" s="4" t="s">
        <v>129</v>
      </c>
      <c r="D108" s="4" t="s">
        <v>132</v>
      </c>
      <c r="E108" s="80">
        <f>$J$77</f>
        <v>8.3333000000000004E-2</v>
      </c>
      <c r="F108" s="4">
        <v>2</v>
      </c>
      <c r="G108" s="244">
        <v>15.22</v>
      </c>
      <c r="H108" s="106">
        <v>84.31</v>
      </c>
      <c r="I108" s="225">
        <f>'Uniformes e EPIs'!$H$35/'Uniformes e EPIs'!$H$39</f>
        <v>39.589999999999996</v>
      </c>
      <c r="J108" s="225">
        <f>ROUND('Uniformes e EPIs'!$I$16/'Uniformes e EPIs'!$I$6,2)</f>
        <v>78.069999999999993</v>
      </c>
      <c r="K108" s="104"/>
      <c r="L108" s="90"/>
      <c r="M108" s="90"/>
      <c r="N108" s="9"/>
    </row>
    <row r="109" spans="1:18" ht="48">
      <c r="A109" s="52">
        <v>680018</v>
      </c>
      <c r="B109" s="53" t="s">
        <v>133</v>
      </c>
      <c r="C109" s="4" t="s">
        <v>129</v>
      </c>
      <c r="D109" s="4" t="s">
        <v>132</v>
      </c>
      <c r="E109" s="80">
        <f>$J$78</f>
        <v>0.136689</v>
      </c>
      <c r="F109" s="4">
        <v>1</v>
      </c>
      <c r="G109" s="244">
        <v>21</v>
      </c>
      <c r="H109" s="106">
        <v>70.260000000000005</v>
      </c>
      <c r="I109" s="225">
        <f>'Uniformes e EPIs'!$F$36/'Uniformes e EPIs'!$F$39</f>
        <v>35.389999999999993</v>
      </c>
      <c r="J109" s="225">
        <f>ROUND('Uniformes e EPIs'!$G$16/'Uniformes e EPIs'!$G$6,2)</f>
        <v>78.06</v>
      </c>
      <c r="K109" s="104"/>
      <c r="L109" s="90"/>
      <c r="M109" s="90"/>
      <c r="N109" s="9"/>
    </row>
    <row r="110" spans="1:18" ht="36">
      <c r="A110" s="52">
        <v>680021</v>
      </c>
      <c r="B110" s="53" t="s">
        <v>134</v>
      </c>
      <c r="C110" s="4" t="s">
        <v>129</v>
      </c>
      <c r="D110" s="4" t="s">
        <v>132</v>
      </c>
      <c r="E110" s="80">
        <f>$J$79</f>
        <v>0.113908</v>
      </c>
      <c r="F110" s="4">
        <v>1.37</v>
      </c>
      <c r="G110" s="244">
        <v>21</v>
      </c>
      <c r="H110" s="106">
        <v>70</v>
      </c>
      <c r="I110" s="225">
        <f>'Uniformes e EPIs'!$G$35/'Uniformes e EPIs'!$G$39</f>
        <v>57.285182481751818</v>
      </c>
      <c r="J110" s="225">
        <f>ROUND('Uniformes e EPIs'!H16/'Uniformes e EPIs'!H6,2)</f>
        <v>78.069999999999993</v>
      </c>
      <c r="K110" s="104"/>
      <c r="L110" s="90"/>
      <c r="M110" s="90"/>
      <c r="N110" s="9"/>
    </row>
    <row r="111" spans="1:18" ht="36">
      <c r="A111" s="52">
        <v>680023</v>
      </c>
      <c r="B111" s="53" t="s">
        <v>135</v>
      </c>
      <c r="C111" s="4" t="s">
        <v>129</v>
      </c>
      <c r="D111" s="4" t="s">
        <v>132</v>
      </c>
      <c r="E111" s="80">
        <f>$J$78</f>
        <v>0.136689</v>
      </c>
      <c r="F111" s="4">
        <v>1</v>
      </c>
      <c r="G111" s="244">
        <v>21</v>
      </c>
      <c r="H111" s="106">
        <v>69.569999999999993</v>
      </c>
      <c r="I111" s="225">
        <f>'Uniformes e EPIs'!$F$37/'Uniformes e EPIs'!$F$39</f>
        <v>28.469999999999992</v>
      </c>
      <c r="J111" s="225">
        <f>ROUND('Uniformes e EPIs'!$G$16/'Uniformes e EPIs'!$G$6,2)</f>
        <v>78.06</v>
      </c>
      <c r="K111" s="104"/>
      <c r="L111" s="90"/>
      <c r="M111" s="90"/>
      <c r="N111" s="9"/>
    </row>
    <row r="112" spans="1:18" ht="48">
      <c r="A112" s="52">
        <v>680027</v>
      </c>
      <c r="B112" s="53" t="s">
        <v>136</v>
      </c>
      <c r="C112" s="4" t="s">
        <v>137</v>
      </c>
      <c r="D112" s="4" t="s">
        <v>132</v>
      </c>
      <c r="E112" s="80">
        <f>$J$77</f>
        <v>8.3333000000000004E-2</v>
      </c>
      <c r="F112" s="4">
        <v>2</v>
      </c>
      <c r="G112" s="244">
        <v>15.22</v>
      </c>
      <c r="H112" s="106">
        <v>84.31</v>
      </c>
      <c r="I112" s="225">
        <f>'Uniformes e EPIs'!$H$35/'Uniformes e EPIs'!$H$39</f>
        <v>39.589999999999996</v>
      </c>
      <c r="J112" s="225">
        <f>ROUND('Uniformes e EPIs'!$I$16/'Uniformes e EPIs'!$I$6,2)</f>
        <v>78.069999999999993</v>
      </c>
      <c r="K112" s="104"/>
      <c r="L112" s="90"/>
      <c r="M112" s="90"/>
      <c r="N112" s="9"/>
    </row>
    <row r="113" spans="1:14" ht="48">
      <c r="A113" s="52">
        <v>680028</v>
      </c>
      <c r="B113" s="53" t="s">
        <v>138</v>
      </c>
      <c r="C113" s="4" t="s">
        <v>129</v>
      </c>
      <c r="D113" s="4" t="s">
        <v>132</v>
      </c>
      <c r="E113" s="80">
        <f>$J$78</f>
        <v>0.136689</v>
      </c>
      <c r="F113" s="4">
        <v>1</v>
      </c>
      <c r="G113" s="244">
        <v>21</v>
      </c>
      <c r="H113" s="106">
        <v>70.260000000000005</v>
      </c>
      <c r="I113" s="225">
        <f>'Uniformes e EPIs'!$F$35/'Uniformes e EPIs'!$F$39</f>
        <v>78.069999999999993</v>
      </c>
      <c r="J113" s="225">
        <f>ROUND('Uniformes e EPIs'!$G$16/'Uniformes e EPIs'!$G$6,2)</f>
        <v>78.06</v>
      </c>
      <c r="K113" s="104"/>
      <c r="L113" s="252"/>
      <c r="M113" s="90"/>
      <c r="N113" s="9"/>
    </row>
    <row r="114" spans="1:14" ht="24">
      <c r="A114" s="52">
        <v>680024</v>
      </c>
      <c r="B114" s="53" t="s">
        <v>139</v>
      </c>
      <c r="C114" s="4" t="s">
        <v>140</v>
      </c>
      <c r="D114" s="4" t="s">
        <v>132</v>
      </c>
      <c r="E114" s="249">
        <v>0</v>
      </c>
      <c r="F114" s="4">
        <v>1</v>
      </c>
      <c r="G114" s="244">
        <f>'Indicadores Financeiros'!$G$111</f>
        <v>21</v>
      </c>
      <c r="H114" s="106">
        <f>'Resumo por Localidade'!$I$41</f>
        <v>133.77000000000001</v>
      </c>
      <c r="I114" s="274">
        <f>'Uniformes e EPIs'!$F$37/'Uniformes e EPIs'!$F$39</f>
        <v>28.469999999999992</v>
      </c>
      <c r="J114" s="274">
        <f>ROUND('Uniformes e EPIs'!$G$16/'Uniformes e EPIs'!$G$6,2)</f>
        <v>78.06</v>
      </c>
      <c r="K114" s="250" t="s">
        <v>141</v>
      </c>
      <c r="L114" s="253"/>
      <c r="M114" s="55"/>
      <c r="N114" s="9"/>
    </row>
    <row r="115" spans="1:14" ht="36">
      <c r="A115" s="52">
        <v>680025</v>
      </c>
      <c r="B115" s="53" t="s">
        <v>142</v>
      </c>
      <c r="C115" s="4" t="s">
        <v>140</v>
      </c>
      <c r="D115" s="4" t="s">
        <v>130</v>
      </c>
      <c r="E115" s="249">
        <v>0</v>
      </c>
      <c r="F115" s="4">
        <v>1</v>
      </c>
      <c r="G115" s="244">
        <f>'Indicadores Financeiros'!$G$111</f>
        <v>21</v>
      </c>
      <c r="H115" s="106">
        <f>'Resumo por Localidade'!$J$41</f>
        <v>133.77000000000001</v>
      </c>
      <c r="I115" s="274">
        <f>'Uniformes e EPIs'!$F$37/'Uniformes e EPIs'!$F$39</f>
        <v>28.469999999999992</v>
      </c>
      <c r="J115" s="274">
        <f>ROUND('Uniformes e EPIs'!$G$16/'Uniformes e EPIs'!$G$6,2)</f>
        <v>78.06</v>
      </c>
      <c r="K115" s="250" t="s">
        <v>141</v>
      </c>
      <c r="L115" s="253"/>
      <c r="M115" s="55"/>
      <c r="N115" s="9"/>
    </row>
    <row r="116" spans="1:14" ht="24">
      <c r="A116" s="52">
        <v>680029</v>
      </c>
      <c r="B116" s="53" t="s">
        <v>143</v>
      </c>
      <c r="C116" s="4" t="s">
        <v>140</v>
      </c>
      <c r="D116" s="4" t="s">
        <v>132</v>
      </c>
      <c r="E116" s="249">
        <v>0</v>
      </c>
      <c r="F116" s="4">
        <v>1</v>
      </c>
      <c r="G116" s="244">
        <f>'Indicadores Financeiros'!$G$109</f>
        <v>21</v>
      </c>
      <c r="H116" s="106">
        <f>'Resumo por Localidade'!$K$41</f>
        <v>133.77000000000001</v>
      </c>
      <c r="I116" s="274">
        <f>'Uniformes e EPIs'!$F$36/'Uniformes e EPIs'!$F$39</f>
        <v>35.389999999999993</v>
      </c>
      <c r="J116" s="274">
        <f>ROUND('Uniformes e EPIs'!$G$16/'Uniformes e EPIs'!$G$6,2)</f>
        <v>78.06</v>
      </c>
      <c r="K116" s="250" t="s">
        <v>144</v>
      </c>
      <c r="L116" s="253"/>
      <c r="M116" s="55"/>
      <c r="N116" s="9"/>
    </row>
    <row r="117" spans="1:14" ht="24">
      <c r="A117" s="52">
        <v>680030</v>
      </c>
      <c r="B117" s="53" t="s">
        <v>145</v>
      </c>
      <c r="C117" s="4" t="s">
        <v>140</v>
      </c>
      <c r="D117" s="4" t="s">
        <v>130</v>
      </c>
      <c r="E117" s="249">
        <v>0</v>
      </c>
      <c r="F117" s="4">
        <v>1</v>
      </c>
      <c r="G117" s="244">
        <f>'Indicadores Financeiros'!$G$113</f>
        <v>21</v>
      </c>
      <c r="H117" s="106">
        <f>'Resumo por Localidade'!$L$41</f>
        <v>133.77000000000001</v>
      </c>
      <c r="I117" s="274">
        <f>'Uniformes e EPIs'!$F$35/'Uniformes e EPIs'!$F$39</f>
        <v>78.069999999999993</v>
      </c>
      <c r="J117" s="274">
        <f>ROUND('Uniformes e EPIs'!$G$16/'Uniformes e EPIs'!$G$6,2)</f>
        <v>78.06</v>
      </c>
      <c r="K117" s="250" t="s">
        <v>146</v>
      </c>
      <c r="L117" s="253"/>
      <c r="M117" s="55"/>
      <c r="N117" s="9"/>
    </row>
    <row r="118" spans="1:14" ht="24">
      <c r="A118" s="52">
        <v>680031</v>
      </c>
      <c r="B118" s="53" t="s">
        <v>147</v>
      </c>
      <c r="C118" s="4" t="s">
        <v>148</v>
      </c>
      <c r="D118" s="4" t="s">
        <v>132</v>
      </c>
      <c r="E118" s="249">
        <v>0</v>
      </c>
      <c r="F118" s="4">
        <v>1</v>
      </c>
      <c r="G118" s="244">
        <f>'Indicadores Financeiros'!$G$113</f>
        <v>21</v>
      </c>
      <c r="H118" s="106">
        <v>0</v>
      </c>
      <c r="I118" s="274">
        <v>0</v>
      </c>
      <c r="J118" s="274">
        <v>0</v>
      </c>
      <c r="K118" s="250"/>
      <c r="L118" s="253"/>
      <c r="M118" s="55"/>
      <c r="N118" s="9"/>
    </row>
    <row r="119" spans="1:14" ht="24">
      <c r="A119" s="52">
        <v>680032</v>
      </c>
      <c r="B119" s="53" t="s">
        <v>149</v>
      </c>
      <c r="C119" s="4" t="s">
        <v>148</v>
      </c>
      <c r="D119" s="4" t="s">
        <v>130</v>
      </c>
      <c r="E119" s="249">
        <v>0</v>
      </c>
      <c r="F119" s="4">
        <v>1</v>
      </c>
      <c r="G119" s="244">
        <f>'Indicadores Financeiros'!$G$113</f>
        <v>21</v>
      </c>
      <c r="H119" s="106">
        <v>0</v>
      </c>
      <c r="I119" s="274">
        <v>0</v>
      </c>
      <c r="J119" s="274">
        <v>0</v>
      </c>
      <c r="K119" s="251"/>
      <c r="L119" s="253"/>
      <c r="M119" s="55"/>
      <c r="N119" s="9"/>
    </row>
    <row r="120" spans="1:1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251"/>
      <c r="L120" s="76"/>
      <c r="M120" s="55"/>
    </row>
    <row r="121" spans="1:14" ht="15" customHeight="1">
      <c r="A121" s="323" t="s">
        <v>150</v>
      </c>
      <c r="B121" s="323"/>
      <c r="C121" s="323"/>
      <c r="D121" s="323"/>
      <c r="E121" s="323"/>
      <c r="F121" s="323"/>
      <c r="G121" s="323"/>
      <c r="H121" s="323"/>
      <c r="I121" s="323"/>
      <c r="J121" s="323"/>
      <c r="L121" s="19"/>
    </row>
    <row r="122" spans="1:14" ht="36">
      <c r="A122" s="5" t="s">
        <v>151</v>
      </c>
      <c r="B122" s="327" t="s">
        <v>152</v>
      </c>
      <c r="C122" s="328"/>
      <c r="D122" s="328"/>
      <c r="E122" s="328"/>
      <c r="F122" s="329"/>
      <c r="G122" s="5" t="s">
        <v>153</v>
      </c>
      <c r="H122" s="5" t="s">
        <v>154</v>
      </c>
      <c r="I122" s="5" t="s">
        <v>155</v>
      </c>
      <c r="J122" s="5" t="s">
        <v>156</v>
      </c>
    </row>
    <row r="123" spans="1:14" ht="12">
      <c r="A123" s="4">
        <v>1</v>
      </c>
      <c r="B123" s="317" t="s">
        <v>157</v>
      </c>
      <c r="C123" s="318"/>
      <c r="D123" s="318"/>
      <c r="E123" s="318"/>
      <c r="F123" s="319"/>
      <c r="G123" s="107">
        <v>0.02</v>
      </c>
      <c r="H123" s="292">
        <f>ROUND((1+$F$8)*(1+$F$9)/(1-$F$11-$F$10-$G123-$F$12)-1,4)</f>
        <v>0.2114</v>
      </c>
      <c r="I123" s="106">
        <v>9.66</v>
      </c>
      <c r="J123" s="115">
        <v>1</v>
      </c>
    </row>
    <row r="124" spans="1:14" ht="12">
      <c r="A124" s="4">
        <v>2</v>
      </c>
      <c r="B124" s="317" t="s">
        <v>158</v>
      </c>
      <c r="C124" s="318"/>
      <c r="D124" s="318"/>
      <c r="E124" s="318"/>
      <c r="F124" s="319"/>
      <c r="G124" s="107">
        <v>0.03</v>
      </c>
      <c r="H124" s="292">
        <f>ROUND((1+$F$8)*(1+$F$9)/(1-$F$11-$F$10-$G124-$F$12)-1,4)</f>
        <v>0.22439999999999999</v>
      </c>
      <c r="I124" s="106">
        <v>9.66</v>
      </c>
      <c r="J124" s="115">
        <v>1</v>
      </c>
      <c r="L124" s="90"/>
    </row>
    <row r="125" spans="1:14" ht="12">
      <c r="A125" s="4">
        <v>3</v>
      </c>
      <c r="B125" s="317"/>
      <c r="C125" s="318"/>
      <c r="D125" s="318"/>
      <c r="E125" s="318"/>
      <c r="F125" s="319"/>
      <c r="G125" s="107"/>
      <c r="H125" s="42"/>
      <c r="I125" s="106"/>
      <c r="J125" s="115"/>
    </row>
    <row r="126" spans="1:14" ht="12">
      <c r="A126" s="4">
        <v>4</v>
      </c>
      <c r="B126" s="317"/>
      <c r="C126" s="318"/>
      <c r="D126" s="318"/>
      <c r="E126" s="318"/>
      <c r="F126" s="319"/>
      <c r="G126" s="107"/>
      <c r="H126" s="42"/>
      <c r="I126" s="106"/>
      <c r="J126" s="115"/>
    </row>
    <row r="127" spans="1:14" ht="12">
      <c r="A127" s="4">
        <v>5</v>
      </c>
      <c r="B127" s="317"/>
      <c r="C127" s="318"/>
      <c r="D127" s="318"/>
      <c r="E127" s="318"/>
      <c r="F127" s="319"/>
      <c r="G127" s="107"/>
      <c r="H127" s="42"/>
      <c r="I127" s="106"/>
      <c r="J127" s="115"/>
    </row>
    <row r="128" spans="1:14" ht="12">
      <c r="A128" s="4">
        <v>6</v>
      </c>
      <c r="B128" s="317"/>
      <c r="C128" s="318"/>
      <c r="D128" s="318"/>
      <c r="E128" s="318"/>
      <c r="F128" s="319"/>
      <c r="G128" s="107"/>
      <c r="H128" s="42"/>
      <c r="I128" s="106"/>
      <c r="J128" s="115"/>
    </row>
    <row r="129" spans="1:10" ht="12">
      <c r="A129" s="4">
        <v>7</v>
      </c>
      <c r="B129" s="317"/>
      <c r="C129" s="318"/>
      <c r="D129" s="318"/>
      <c r="E129" s="318"/>
      <c r="F129" s="319"/>
      <c r="G129" s="107"/>
      <c r="H129" s="42"/>
      <c r="I129" s="106"/>
      <c r="J129" s="115"/>
    </row>
    <row r="130" spans="1:10" ht="12">
      <c r="A130" s="4">
        <v>8</v>
      </c>
      <c r="B130" s="317"/>
      <c r="C130" s="318"/>
      <c r="D130" s="318"/>
      <c r="E130" s="318"/>
      <c r="F130" s="319"/>
      <c r="G130" s="107"/>
      <c r="H130" s="42"/>
      <c r="I130" s="106"/>
      <c r="J130" s="115"/>
    </row>
    <row r="131" spans="1:10" ht="12">
      <c r="A131" s="4">
        <v>9</v>
      </c>
      <c r="B131" s="317"/>
      <c r="C131" s="318"/>
      <c r="D131" s="318"/>
      <c r="E131" s="318"/>
      <c r="F131" s="319"/>
      <c r="G131" s="107"/>
      <c r="H131" s="42"/>
      <c r="I131" s="106"/>
      <c r="J131" s="115"/>
    </row>
    <row r="132" spans="1:10" ht="12">
      <c r="A132" s="4">
        <v>10</v>
      </c>
      <c r="B132" s="317"/>
      <c r="C132" s="318"/>
      <c r="D132" s="318"/>
      <c r="E132" s="318"/>
      <c r="F132" s="319"/>
      <c r="G132" s="107"/>
      <c r="H132" s="42"/>
      <c r="I132" s="106"/>
      <c r="J132" s="115"/>
    </row>
    <row r="133" spans="1:10" ht="12">
      <c r="A133" s="4">
        <v>11</v>
      </c>
      <c r="B133" s="317"/>
      <c r="C133" s="318"/>
      <c r="D133" s="318"/>
      <c r="E133" s="318"/>
      <c r="F133" s="319"/>
      <c r="G133" s="107"/>
      <c r="H133" s="42"/>
      <c r="I133" s="106"/>
      <c r="J133" s="115"/>
    </row>
    <row r="134" spans="1:10" ht="12">
      <c r="A134" s="4">
        <v>12</v>
      </c>
      <c r="B134" s="317"/>
      <c r="C134" s="318"/>
      <c r="D134" s="318"/>
      <c r="E134" s="318"/>
      <c r="F134" s="319"/>
      <c r="G134" s="107"/>
      <c r="H134" s="42"/>
      <c r="I134" s="106"/>
      <c r="J134" s="115"/>
    </row>
    <row r="135" spans="1:10" ht="12">
      <c r="A135" s="4">
        <v>13</v>
      </c>
      <c r="B135" s="317"/>
      <c r="C135" s="318"/>
      <c r="D135" s="318"/>
      <c r="E135" s="318"/>
      <c r="F135" s="319"/>
      <c r="G135" s="107"/>
      <c r="H135" s="42"/>
      <c r="I135" s="106"/>
      <c r="J135" s="115"/>
    </row>
    <row r="136" spans="1:10" ht="12">
      <c r="A136" s="4">
        <v>14</v>
      </c>
      <c r="B136" s="317"/>
      <c r="C136" s="318"/>
      <c r="D136" s="318"/>
      <c r="E136" s="318"/>
      <c r="F136" s="319"/>
      <c r="G136" s="107"/>
      <c r="H136" s="42"/>
      <c r="I136" s="106"/>
      <c r="J136" s="115"/>
    </row>
    <row r="137" spans="1:10" ht="12">
      <c r="A137" s="4">
        <v>15</v>
      </c>
      <c r="B137" s="317"/>
      <c r="C137" s="318"/>
      <c r="D137" s="318"/>
      <c r="E137" s="318"/>
      <c r="F137" s="319"/>
      <c r="G137" s="107"/>
      <c r="H137" s="42"/>
      <c r="I137" s="106"/>
      <c r="J137" s="115"/>
    </row>
    <row r="138" spans="1:10" ht="12">
      <c r="A138" s="4">
        <v>16</v>
      </c>
      <c r="B138" s="317"/>
      <c r="C138" s="318"/>
      <c r="D138" s="318"/>
      <c r="E138" s="318"/>
      <c r="F138" s="319"/>
      <c r="G138" s="107"/>
      <c r="H138" s="42"/>
      <c r="I138" s="106"/>
      <c r="J138" s="115"/>
    </row>
    <row r="139" spans="1:10" ht="12">
      <c r="A139" s="4">
        <v>17</v>
      </c>
      <c r="B139" s="317"/>
      <c r="C139" s="318"/>
      <c r="D139" s="318"/>
      <c r="E139" s="318"/>
      <c r="F139" s="319"/>
      <c r="G139" s="107"/>
      <c r="H139" s="42"/>
      <c r="I139" s="106"/>
      <c r="J139" s="115"/>
    </row>
    <row r="140" spans="1:10" ht="12">
      <c r="A140" s="4">
        <v>18</v>
      </c>
      <c r="B140" s="317"/>
      <c r="C140" s="318"/>
      <c r="D140" s="318"/>
      <c r="E140" s="318"/>
      <c r="F140" s="319"/>
      <c r="G140" s="107"/>
      <c r="H140" s="42"/>
      <c r="I140" s="106"/>
      <c r="J140" s="115"/>
    </row>
    <row r="141" spans="1:10" ht="12">
      <c r="A141" s="4">
        <v>19</v>
      </c>
      <c r="B141" s="317"/>
      <c r="C141" s="318"/>
      <c r="D141" s="318"/>
      <c r="E141" s="318"/>
      <c r="F141" s="319"/>
      <c r="G141" s="107"/>
      <c r="H141" s="42"/>
      <c r="I141" s="106"/>
      <c r="J141" s="115"/>
    </row>
    <row r="142" spans="1:10" ht="12">
      <c r="A142" s="4">
        <v>20</v>
      </c>
      <c r="B142" s="317"/>
      <c r="C142" s="318"/>
      <c r="D142" s="318"/>
      <c r="E142" s="318"/>
      <c r="F142" s="319"/>
      <c r="G142" s="107"/>
      <c r="H142" s="42"/>
      <c r="I142" s="106"/>
      <c r="J142" s="115"/>
    </row>
    <row r="143" spans="1:10" ht="12">
      <c r="A143" s="4">
        <v>21</v>
      </c>
      <c r="B143" s="317"/>
      <c r="C143" s="318"/>
      <c r="D143" s="318"/>
      <c r="E143" s="318"/>
      <c r="F143" s="319"/>
      <c r="G143" s="107"/>
      <c r="H143" s="42"/>
      <c r="I143" s="106"/>
      <c r="J143" s="115"/>
    </row>
    <row r="144" spans="1:10" ht="12">
      <c r="A144" s="4">
        <v>22</v>
      </c>
      <c r="B144" s="317"/>
      <c r="C144" s="318"/>
      <c r="D144" s="318"/>
      <c r="E144" s="318"/>
      <c r="F144" s="319"/>
      <c r="G144" s="107"/>
      <c r="H144" s="42"/>
      <c r="I144" s="106"/>
      <c r="J144" s="115"/>
    </row>
    <row r="145" spans="1:10" ht="12">
      <c r="A145" s="4">
        <v>23</v>
      </c>
      <c r="B145" s="317"/>
      <c r="C145" s="318"/>
      <c r="D145" s="318"/>
      <c r="E145" s="318"/>
      <c r="F145" s="319"/>
      <c r="G145" s="107"/>
      <c r="H145" s="42"/>
      <c r="I145" s="106"/>
      <c r="J145" s="115"/>
    </row>
    <row r="146" spans="1:10" ht="12">
      <c r="A146" s="4">
        <v>24</v>
      </c>
      <c r="B146" s="317"/>
      <c r="C146" s="318"/>
      <c r="D146" s="318"/>
      <c r="E146" s="318"/>
      <c r="F146" s="319"/>
      <c r="G146" s="107"/>
      <c r="H146" s="42"/>
      <c r="I146" s="106"/>
      <c r="J146" s="115"/>
    </row>
    <row r="147" spans="1:10" ht="12">
      <c r="A147" s="4">
        <v>25</v>
      </c>
      <c r="B147" s="317"/>
      <c r="C147" s="318"/>
      <c r="D147" s="318"/>
      <c r="E147" s="318"/>
      <c r="F147" s="319"/>
      <c r="G147" s="107"/>
      <c r="H147" s="42"/>
      <c r="I147" s="106"/>
      <c r="J147" s="115"/>
    </row>
    <row r="148" spans="1:10" ht="12">
      <c r="A148" s="4">
        <v>26</v>
      </c>
      <c r="B148" s="317"/>
      <c r="C148" s="318"/>
      <c r="D148" s="318"/>
      <c r="E148" s="318"/>
      <c r="F148" s="319"/>
      <c r="G148" s="107"/>
      <c r="H148" s="42"/>
      <c r="I148" s="106"/>
      <c r="J148" s="115"/>
    </row>
    <row r="149" spans="1:10" ht="12">
      <c r="A149" s="4">
        <v>27</v>
      </c>
      <c r="B149" s="317"/>
      <c r="C149" s="318"/>
      <c r="D149" s="318"/>
      <c r="E149" s="318"/>
      <c r="F149" s="319"/>
      <c r="G149" s="107"/>
      <c r="H149" s="42"/>
      <c r="I149" s="106"/>
      <c r="J149" s="115"/>
    </row>
    <row r="150" spans="1:10" ht="12">
      <c r="A150" s="4">
        <v>28</v>
      </c>
      <c r="B150" s="317"/>
      <c r="C150" s="318"/>
      <c r="D150" s="318"/>
      <c r="E150" s="318"/>
      <c r="F150" s="319"/>
      <c r="G150" s="107"/>
      <c r="H150" s="42"/>
      <c r="I150" s="106"/>
      <c r="J150" s="115"/>
    </row>
    <row r="151" spans="1:10" ht="12">
      <c r="A151" s="4">
        <v>29</v>
      </c>
      <c r="B151" s="317"/>
      <c r="C151" s="318"/>
      <c r="D151" s="318"/>
      <c r="E151" s="318"/>
      <c r="F151" s="319"/>
      <c r="G151" s="107"/>
      <c r="H151" s="42"/>
      <c r="I151" s="106"/>
      <c r="J151" s="115"/>
    </row>
    <row r="152" spans="1:10" ht="12">
      <c r="A152" s="4">
        <v>30</v>
      </c>
      <c r="B152" s="317"/>
      <c r="C152" s="318"/>
      <c r="D152" s="318"/>
      <c r="E152" s="318"/>
      <c r="F152" s="319"/>
      <c r="G152" s="107"/>
      <c r="H152" s="42"/>
      <c r="I152" s="106"/>
      <c r="J152" s="115"/>
    </row>
    <row r="153" spans="1:10" ht="12">
      <c r="A153" s="4">
        <v>31</v>
      </c>
      <c r="B153" s="317"/>
      <c r="C153" s="318"/>
      <c r="D153" s="318"/>
      <c r="E153" s="318"/>
      <c r="F153" s="319"/>
      <c r="G153" s="107"/>
      <c r="H153" s="42"/>
      <c r="I153" s="106"/>
      <c r="J153" s="115"/>
    </row>
    <row r="154" spans="1:10" ht="12">
      <c r="A154" s="4">
        <v>32</v>
      </c>
      <c r="B154" s="317"/>
      <c r="C154" s="318"/>
      <c r="D154" s="318"/>
      <c r="E154" s="318"/>
      <c r="F154" s="319"/>
      <c r="G154" s="107"/>
      <c r="H154" s="42"/>
      <c r="I154" s="106"/>
      <c r="J154" s="115"/>
    </row>
    <row r="155" spans="1:10" ht="12">
      <c r="A155" s="4">
        <v>33</v>
      </c>
      <c r="B155" s="317"/>
      <c r="C155" s="318"/>
      <c r="D155" s="318"/>
      <c r="E155" s="318"/>
      <c r="F155" s="319"/>
      <c r="G155" s="107"/>
      <c r="H155" s="42"/>
      <c r="I155" s="106"/>
      <c r="J155" s="115"/>
    </row>
    <row r="156" spans="1:10" ht="12">
      <c r="A156" s="4">
        <v>34</v>
      </c>
      <c r="B156" s="317"/>
      <c r="C156" s="318"/>
      <c r="D156" s="318"/>
      <c r="E156" s="318"/>
      <c r="F156" s="319"/>
      <c r="G156" s="107"/>
      <c r="H156" s="42"/>
      <c r="I156" s="106"/>
      <c r="J156" s="115"/>
    </row>
    <row r="157" spans="1:10" ht="12">
      <c r="A157" s="4">
        <v>35</v>
      </c>
      <c r="B157" s="317"/>
      <c r="C157" s="318"/>
      <c r="D157" s="318"/>
      <c r="E157" s="318"/>
      <c r="F157" s="319"/>
      <c r="G157" s="107"/>
      <c r="H157" s="42"/>
      <c r="I157" s="106"/>
      <c r="J157" s="115"/>
    </row>
    <row r="158" spans="1:10" ht="12">
      <c r="A158" s="4">
        <v>36</v>
      </c>
      <c r="B158" s="317"/>
      <c r="C158" s="318"/>
      <c r="D158" s="318"/>
      <c r="E158" s="318"/>
      <c r="F158" s="319"/>
      <c r="G158" s="107"/>
      <c r="H158" s="42"/>
      <c r="I158" s="106"/>
      <c r="J158" s="115"/>
    </row>
    <row r="159" spans="1:10" ht="12">
      <c r="A159" s="4">
        <v>37</v>
      </c>
      <c r="B159" s="317"/>
      <c r="C159" s="318"/>
      <c r="D159" s="318"/>
      <c r="E159" s="318"/>
      <c r="F159" s="319"/>
      <c r="G159" s="107"/>
      <c r="H159" s="42"/>
      <c r="I159" s="106"/>
      <c r="J159" s="115"/>
    </row>
    <row r="160" spans="1:10" ht="12">
      <c r="A160" s="4">
        <v>38</v>
      </c>
      <c r="B160" s="317"/>
      <c r="C160" s="318"/>
      <c r="D160" s="318"/>
      <c r="E160" s="318"/>
      <c r="F160" s="319"/>
      <c r="G160" s="107"/>
      <c r="H160" s="42"/>
      <c r="I160" s="106"/>
      <c r="J160" s="115"/>
    </row>
    <row r="161" spans="1:10" ht="12">
      <c r="A161" s="4">
        <v>39</v>
      </c>
      <c r="B161" s="317"/>
      <c r="C161" s="318"/>
      <c r="D161" s="318"/>
      <c r="E161" s="318"/>
      <c r="F161" s="319"/>
      <c r="G161" s="107"/>
      <c r="H161" s="42"/>
      <c r="I161" s="106"/>
      <c r="J161" s="115"/>
    </row>
    <row r="162" spans="1:10" ht="12">
      <c r="A162" s="4">
        <v>40</v>
      </c>
      <c r="B162" s="317"/>
      <c r="C162" s="318"/>
      <c r="D162" s="318"/>
      <c r="E162" s="318"/>
      <c r="F162" s="319"/>
      <c r="G162" s="107"/>
      <c r="H162" s="42"/>
      <c r="I162" s="106"/>
      <c r="J162" s="115"/>
    </row>
    <row r="163" spans="1:10" ht="12">
      <c r="A163" s="4">
        <v>41</v>
      </c>
      <c r="B163" s="317"/>
      <c r="C163" s="318"/>
      <c r="D163" s="318"/>
      <c r="E163" s="318"/>
      <c r="F163" s="319"/>
      <c r="G163" s="107"/>
      <c r="H163" s="42"/>
      <c r="I163" s="106"/>
      <c r="J163" s="115"/>
    </row>
    <row r="164" spans="1:10" ht="12">
      <c r="A164" s="4">
        <v>42</v>
      </c>
      <c r="B164" s="317"/>
      <c r="C164" s="318"/>
      <c r="D164" s="318"/>
      <c r="E164" s="318"/>
      <c r="F164" s="319"/>
      <c r="G164" s="107"/>
      <c r="H164" s="42"/>
      <c r="I164" s="106"/>
      <c r="J164" s="115"/>
    </row>
    <row r="165" spans="1:10" ht="12">
      <c r="A165" s="4">
        <v>43</v>
      </c>
      <c r="B165" s="317"/>
      <c r="C165" s="318"/>
      <c r="D165" s="318"/>
      <c r="E165" s="318"/>
      <c r="F165" s="319"/>
      <c r="G165" s="107"/>
      <c r="H165" s="42"/>
      <c r="I165" s="106"/>
      <c r="J165" s="115"/>
    </row>
    <row r="166" spans="1:10" ht="12">
      <c r="A166" s="4">
        <v>44</v>
      </c>
      <c r="B166" s="317"/>
      <c r="C166" s="318"/>
      <c r="D166" s="318"/>
      <c r="E166" s="318"/>
      <c r="F166" s="319"/>
      <c r="G166" s="107"/>
      <c r="H166" s="42"/>
      <c r="I166" s="106"/>
      <c r="J166" s="115"/>
    </row>
    <row r="167" spans="1:10" ht="12">
      <c r="A167" s="4">
        <v>45</v>
      </c>
      <c r="B167" s="317"/>
      <c r="C167" s="318"/>
      <c r="D167" s="318"/>
      <c r="E167" s="318"/>
      <c r="F167" s="319"/>
      <c r="G167" s="107"/>
      <c r="H167" s="42"/>
      <c r="I167" s="106"/>
      <c r="J167" s="115"/>
    </row>
    <row r="168" spans="1:10" ht="12">
      <c r="A168" s="4">
        <v>46</v>
      </c>
      <c r="B168" s="317"/>
      <c r="C168" s="318"/>
      <c r="D168" s="318"/>
      <c r="E168" s="318"/>
      <c r="F168" s="319"/>
      <c r="G168" s="107"/>
      <c r="H168" s="42"/>
      <c r="I168" s="106"/>
      <c r="J168" s="115"/>
    </row>
    <row r="169" spans="1:10" ht="12">
      <c r="A169" s="4">
        <v>47</v>
      </c>
      <c r="B169" s="317"/>
      <c r="C169" s="318"/>
      <c r="D169" s="318"/>
      <c r="E169" s="318"/>
      <c r="F169" s="319"/>
      <c r="G169" s="107"/>
      <c r="H169" s="42"/>
      <c r="I169" s="106"/>
      <c r="J169" s="115"/>
    </row>
    <row r="170" spans="1:10" ht="12">
      <c r="A170" s="4">
        <v>48</v>
      </c>
      <c r="B170" s="317"/>
      <c r="C170" s="318"/>
      <c r="D170" s="318"/>
      <c r="E170" s="318"/>
      <c r="F170" s="319"/>
      <c r="G170" s="107"/>
      <c r="H170" s="42"/>
      <c r="I170" s="106"/>
      <c r="J170" s="115"/>
    </row>
    <row r="171" spans="1:10" ht="12">
      <c r="A171" s="4">
        <v>49</v>
      </c>
      <c r="B171" s="317"/>
      <c r="C171" s="318"/>
      <c r="D171" s="318"/>
      <c r="E171" s="318"/>
      <c r="F171" s="319"/>
      <c r="G171" s="107"/>
      <c r="H171" s="42"/>
      <c r="I171" s="106"/>
      <c r="J171" s="115"/>
    </row>
    <row r="172" spans="1:10" ht="12">
      <c r="A172" s="4">
        <v>50</v>
      </c>
      <c r="B172" s="317"/>
      <c r="C172" s="318"/>
      <c r="D172" s="318"/>
      <c r="E172" s="318"/>
      <c r="F172" s="319"/>
      <c r="G172" s="107"/>
      <c r="H172" s="42"/>
      <c r="I172" s="106"/>
      <c r="J172" s="115"/>
    </row>
    <row r="173" spans="1:10" ht="12">
      <c r="A173" s="4">
        <v>51</v>
      </c>
      <c r="B173" s="317"/>
      <c r="C173" s="318"/>
      <c r="D173" s="318"/>
      <c r="E173" s="318"/>
      <c r="F173" s="319"/>
      <c r="G173" s="107"/>
      <c r="H173" s="42"/>
      <c r="I173" s="106"/>
      <c r="J173" s="115"/>
    </row>
    <row r="174" spans="1:10" ht="12">
      <c r="A174" s="4">
        <v>52</v>
      </c>
      <c r="B174" s="317"/>
      <c r="C174" s="318"/>
      <c r="D174" s="318"/>
      <c r="E174" s="318"/>
      <c r="F174" s="319"/>
      <c r="G174" s="107"/>
      <c r="H174" s="42"/>
      <c r="I174" s="106"/>
      <c r="J174" s="115"/>
    </row>
    <row r="175" spans="1:10" ht="12">
      <c r="A175" s="4">
        <v>53</v>
      </c>
      <c r="B175" s="317"/>
      <c r="C175" s="318"/>
      <c r="D175" s="318"/>
      <c r="E175" s="318"/>
      <c r="F175" s="319"/>
      <c r="G175" s="107"/>
      <c r="H175" s="42"/>
      <c r="I175" s="106"/>
      <c r="J175" s="115"/>
    </row>
    <row r="176" spans="1:10" ht="12">
      <c r="A176" s="4">
        <v>54</v>
      </c>
      <c r="B176" s="317"/>
      <c r="C176" s="318"/>
      <c r="D176" s="318"/>
      <c r="E176" s="318"/>
      <c r="F176" s="319"/>
      <c r="G176" s="107"/>
      <c r="H176" s="42"/>
      <c r="I176" s="106"/>
      <c r="J176" s="115"/>
    </row>
    <row r="177" spans="1:14" ht="12">
      <c r="A177" s="4">
        <v>55</v>
      </c>
      <c r="B177" s="317"/>
      <c r="C177" s="318"/>
      <c r="D177" s="318"/>
      <c r="E177" s="318"/>
      <c r="F177" s="319"/>
      <c r="G177" s="107"/>
      <c r="H177" s="42"/>
      <c r="I177" s="106"/>
      <c r="J177" s="115"/>
    </row>
    <row r="178" spans="1:14" ht="12">
      <c r="A178" s="4">
        <v>56</v>
      </c>
      <c r="B178" s="317"/>
      <c r="C178" s="318"/>
      <c r="D178" s="318"/>
      <c r="E178" s="318"/>
      <c r="F178" s="319"/>
      <c r="G178" s="107"/>
      <c r="H178" s="42"/>
      <c r="I178" s="106"/>
      <c r="J178" s="115"/>
    </row>
    <row r="179" spans="1:14" ht="12">
      <c r="A179" s="4">
        <v>57</v>
      </c>
      <c r="B179" s="317"/>
      <c r="C179" s="318"/>
      <c r="D179" s="318"/>
      <c r="E179" s="318"/>
      <c r="F179" s="319"/>
      <c r="G179" s="107"/>
      <c r="H179" s="42"/>
      <c r="I179" s="106"/>
      <c r="J179" s="115"/>
    </row>
    <row r="180" spans="1:14" ht="12">
      <c r="A180" s="4">
        <v>58</v>
      </c>
      <c r="B180" s="317"/>
      <c r="C180" s="318"/>
      <c r="D180" s="318"/>
      <c r="E180" s="318"/>
      <c r="F180" s="319"/>
      <c r="G180" s="107"/>
      <c r="H180" s="42"/>
      <c r="I180" s="106"/>
      <c r="J180" s="115"/>
    </row>
    <row r="181" spans="1:14" ht="12">
      <c r="A181" s="4">
        <v>59</v>
      </c>
      <c r="B181" s="317"/>
      <c r="C181" s="318"/>
      <c r="D181" s="318"/>
      <c r="E181" s="318"/>
      <c r="F181" s="319"/>
      <c r="G181" s="107"/>
      <c r="H181" s="42"/>
      <c r="I181" s="106"/>
      <c r="J181" s="115"/>
    </row>
    <row r="182" spans="1:14" ht="12">
      <c r="A182" s="4">
        <v>60</v>
      </c>
      <c r="B182" s="317"/>
      <c r="C182" s="318"/>
      <c r="D182" s="318"/>
      <c r="E182" s="318"/>
      <c r="F182" s="319"/>
      <c r="G182" s="107"/>
      <c r="H182" s="42"/>
      <c r="I182" s="106"/>
      <c r="J182" s="115"/>
    </row>
    <row r="183" spans="1:14" ht="15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</row>
    <row r="184" spans="1:14" ht="15" customHeight="1">
      <c r="A184" s="311" t="s">
        <v>159</v>
      </c>
      <c r="B184" s="312"/>
      <c r="C184" s="312"/>
      <c r="D184" s="312"/>
      <c r="E184" s="312"/>
      <c r="F184" s="312"/>
      <c r="G184" s="312"/>
      <c r="H184" s="312"/>
      <c r="I184" s="312"/>
      <c r="J184" s="313"/>
      <c r="K184" s="8"/>
    </row>
    <row r="185" spans="1:14" s="85" customFormat="1" ht="15" customHeight="1">
      <c r="A185" s="314" t="s">
        <v>160</v>
      </c>
      <c r="B185" s="315"/>
      <c r="C185" s="315"/>
      <c r="D185" s="315"/>
      <c r="E185" s="315"/>
      <c r="F185" s="315"/>
      <c r="G185" s="315"/>
      <c r="H185" s="315"/>
      <c r="I185" s="315"/>
      <c r="J185" s="316"/>
      <c r="K185" s="271"/>
      <c r="M185" s="108"/>
      <c r="N185" s="108"/>
    </row>
    <row r="186" spans="1:14" s="85" customFormat="1" ht="15" customHeight="1">
      <c r="A186" s="272"/>
      <c r="B186" s="272"/>
      <c r="C186" s="272"/>
      <c r="D186" s="272"/>
      <c r="E186" s="272"/>
      <c r="F186" s="272"/>
      <c r="G186" s="273"/>
      <c r="H186" s="272"/>
      <c r="I186" s="273"/>
      <c r="J186" s="272"/>
      <c r="M186" s="108"/>
      <c r="N186" s="108"/>
    </row>
    <row r="187" spans="1:14" s="76" customForma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M187" s="111"/>
      <c r="N187" s="111"/>
    </row>
    <row r="188" spans="1:14" s="76" customFormat="1" ht="15" customHeight="1">
      <c r="G188" s="112"/>
      <c r="I188" s="112"/>
      <c r="M188" s="111"/>
      <c r="N188" s="111"/>
    </row>
    <row r="189" spans="1:14" s="76" customFormat="1" ht="15" customHeight="1">
      <c r="G189" s="112"/>
      <c r="I189" s="112"/>
      <c r="M189" s="111"/>
      <c r="N189" s="111"/>
    </row>
    <row r="190" spans="1:14" s="76" customFormat="1" ht="15" customHeight="1">
      <c r="G190" s="112"/>
      <c r="I190" s="112"/>
      <c r="M190" s="111"/>
      <c r="N190" s="111"/>
    </row>
    <row r="191" spans="1:14" s="76" customFormat="1" ht="15" customHeight="1">
      <c r="G191" s="112"/>
      <c r="I191" s="112"/>
      <c r="M191" s="111"/>
      <c r="N191" s="111"/>
    </row>
    <row r="192" spans="1:14" s="76" customFormat="1" ht="15" customHeight="1">
      <c r="G192" s="112"/>
      <c r="I192" s="112"/>
      <c r="M192" s="111"/>
      <c r="N192" s="111"/>
    </row>
    <row r="193" spans="1:14" s="76" customFormat="1" ht="15" customHeight="1">
      <c r="G193" s="112"/>
      <c r="I193" s="112"/>
      <c r="M193" s="111"/>
      <c r="N193" s="111"/>
    </row>
    <row r="194" spans="1:14" s="76" customFormat="1" ht="15" customHeight="1">
      <c r="G194" s="112"/>
      <c r="I194" s="112"/>
      <c r="M194" s="111"/>
      <c r="N194" s="111"/>
    </row>
    <row r="195" spans="1:14" s="76" customFormat="1" ht="15" customHeight="1">
      <c r="G195" s="112"/>
      <c r="I195" s="112"/>
      <c r="M195" s="111"/>
      <c r="N195" s="111"/>
    </row>
    <row r="196" spans="1:14" s="76" customFormat="1" ht="15" customHeight="1">
      <c r="G196" s="112"/>
      <c r="I196" s="112"/>
      <c r="M196" s="111"/>
      <c r="N196" s="111"/>
    </row>
    <row r="197" spans="1:14" s="76" customFormat="1" ht="15" customHeight="1">
      <c r="G197" s="112"/>
      <c r="I197" s="112"/>
      <c r="M197" s="111"/>
      <c r="N197" s="111"/>
    </row>
    <row r="198" spans="1:14" s="76" customFormat="1" ht="15" customHeight="1">
      <c r="G198" s="112"/>
      <c r="I198" s="112"/>
      <c r="M198" s="111"/>
      <c r="N198" s="111"/>
    </row>
    <row r="199" spans="1:14" s="76" customFormat="1" ht="15" customHeight="1">
      <c r="G199" s="112"/>
      <c r="I199" s="112"/>
      <c r="M199" s="111"/>
      <c r="N199" s="111"/>
    </row>
    <row r="200" spans="1:14" s="76" customFormat="1" ht="15" customHeight="1">
      <c r="G200" s="112"/>
      <c r="I200" s="112"/>
      <c r="M200" s="111"/>
      <c r="N200" s="111"/>
    </row>
    <row r="201" spans="1:14" s="76" customFormat="1" ht="15" customHeight="1">
      <c r="G201" s="112"/>
      <c r="I201" s="112"/>
      <c r="M201" s="111"/>
      <c r="N201" s="111"/>
    </row>
    <row r="202" spans="1:14" s="19" customFormat="1" ht="15" customHeight="1">
      <c r="G202" s="86"/>
      <c r="I202" s="86"/>
      <c r="M202" s="109"/>
      <c r="N202" s="109"/>
    </row>
    <row r="203" spans="1:14" ht="15" customHeight="1">
      <c r="A203" s="9"/>
      <c r="B203" s="9"/>
      <c r="C203" s="9"/>
      <c r="D203" s="9"/>
      <c r="E203" s="9"/>
      <c r="F203" s="9"/>
      <c r="G203" s="75"/>
      <c r="H203" s="9"/>
      <c r="I203" s="75"/>
      <c r="J203" s="9"/>
    </row>
    <row r="204" spans="1:14" ht="15" customHeight="1">
      <c r="A204" s="9"/>
      <c r="B204" s="9"/>
      <c r="C204" s="9"/>
      <c r="D204" s="9"/>
      <c r="E204" s="9"/>
      <c r="F204" s="9"/>
      <c r="G204" s="75"/>
      <c r="H204" s="9"/>
      <c r="I204" s="75"/>
      <c r="J204" s="85"/>
    </row>
    <row r="205" spans="1:14" ht="15" customHeight="1">
      <c r="A205" s="9"/>
      <c r="B205" s="9"/>
      <c r="C205" s="9"/>
      <c r="D205" s="9"/>
      <c r="E205" s="9"/>
      <c r="F205" s="9"/>
      <c r="G205" s="75"/>
      <c r="H205" s="9"/>
      <c r="I205" s="75"/>
      <c r="J205" s="19"/>
    </row>
    <row r="206" spans="1:14" ht="15" customHeight="1">
      <c r="A206" s="9"/>
      <c r="B206" s="9"/>
      <c r="C206" s="9"/>
      <c r="D206" s="9"/>
      <c r="E206" s="9"/>
      <c r="F206" s="9"/>
      <c r="G206" s="75"/>
      <c r="H206" s="9"/>
      <c r="I206" s="75"/>
      <c r="J206" s="9"/>
    </row>
    <row r="207" spans="1:14" ht="15" customHeight="1">
      <c r="A207" s="9"/>
      <c r="B207" s="9"/>
      <c r="C207" s="9"/>
      <c r="D207" s="9"/>
      <c r="E207" s="9"/>
      <c r="F207" s="9"/>
      <c r="G207" s="75"/>
      <c r="H207" s="9"/>
      <c r="I207" s="75"/>
      <c r="J207" s="9"/>
    </row>
    <row r="208" spans="1:14" ht="15" customHeight="1">
      <c r="A208" s="9"/>
      <c r="B208" s="9"/>
      <c r="C208" s="9"/>
      <c r="D208" s="9"/>
      <c r="E208" s="9"/>
      <c r="F208" s="9"/>
      <c r="G208" s="75"/>
      <c r="H208" s="9"/>
      <c r="I208" s="75"/>
      <c r="J208" s="9"/>
    </row>
    <row r="209" spans="1:10" ht="15" customHeight="1">
      <c r="A209" s="9"/>
      <c r="B209" s="9"/>
      <c r="C209" s="9"/>
      <c r="D209" s="9"/>
      <c r="E209" s="9"/>
      <c r="F209" s="9"/>
      <c r="G209" s="75"/>
      <c r="H209" s="9"/>
      <c r="I209" s="75"/>
      <c r="J209" s="9"/>
    </row>
    <row r="210" spans="1:10" ht="15" customHeight="1">
      <c r="A210" s="9"/>
      <c r="B210" s="9"/>
      <c r="C210" s="9"/>
      <c r="D210" s="9"/>
      <c r="E210" s="9"/>
      <c r="F210" s="9"/>
      <c r="G210" s="75"/>
      <c r="H210" s="9"/>
      <c r="I210" s="75"/>
      <c r="J210" s="9"/>
    </row>
    <row r="211" spans="1:10" ht="15" customHeight="1">
      <c r="A211" s="9"/>
      <c r="B211" s="9"/>
      <c r="C211" s="9"/>
      <c r="D211" s="9"/>
      <c r="E211" s="9"/>
      <c r="F211" s="9"/>
      <c r="G211" s="75"/>
      <c r="H211" s="9"/>
      <c r="I211" s="75"/>
      <c r="J211" s="9"/>
    </row>
    <row r="212" spans="1:10" ht="15" customHeight="1">
      <c r="A212" s="9"/>
      <c r="B212" s="9"/>
      <c r="C212" s="9"/>
      <c r="D212" s="9"/>
      <c r="E212" s="9"/>
      <c r="F212" s="9"/>
      <c r="G212" s="75"/>
      <c r="H212" s="9"/>
      <c r="I212" s="75"/>
      <c r="J212" s="9"/>
    </row>
    <row r="213" spans="1:10" ht="15" customHeight="1">
      <c r="A213" s="9"/>
      <c r="B213" s="9"/>
      <c r="C213" s="9"/>
      <c r="D213" s="9"/>
      <c r="E213" s="9"/>
      <c r="F213" s="9"/>
      <c r="G213" s="75"/>
      <c r="H213" s="9"/>
      <c r="I213" s="75"/>
      <c r="J213" s="9"/>
    </row>
    <row r="214" spans="1:10" ht="15" customHeight="1">
      <c r="A214" s="9"/>
      <c r="B214" s="9"/>
      <c r="C214" s="9"/>
      <c r="D214" s="9"/>
      <c r="E214" s="9"/>
      <c r="F214" s="9"/>
      <c r="G214" s="75"/>
      <c r="H214" s="9"/>
      <c r="I214" s="75"/>
      <c r="J214" s="9"/>
    </row>
    <row r="215" spans="1:10" ht="15" customHeight="1">
      <c r="A215" s="9"/>
      <c r="B215" s="9"/>
      <c r="C215" s="9"/>
      <c r="D215" s="9"/>
      <c r="E215" s="9"/>
      <c r="F215" s="9"/>
      <c r="G215" s="75"/>
      <c r="H215" s="9"/>
      <c r="I215" s="75"/>
      <c r="J215" s="9"/>
    </row>
    <row r="216" spans="1:10" ht="15" customHeight="1">
      <c r="A216" s="9"/>
      <c r="B216" s="9"/>
      <c r="C216" s="9"/>
      <c r="D216" s="9"/>
      <c r="E216" s="9"/>
      <c r="F216" s="9"/>
      <c r="G216" s="75"/>
      <c r="H216" s="9"/>
      <c r="I216" s="75"/>
      <c r="J216" s="9"/>
    </row>
    <row r="217" spans="1:10" ht="15" customHeight="1">
      <c r="A217" s="9"/>
      <c r="B217" s="9"/>
      <c r="C217" s="9"/>
      <c r="D217" s="9"/>
      <c r="E217" s="9"/>
      <c r="F217" s="9"/>
      <c r="G217" s="75"/>
      <c r="H217" s="9"/>
      <c r="I217" s="75"/>
      <c r="J217" s="9"/>
    </row>
    <row r="218" spans="1:10" ht="15" customHeight="1">
      <c r="A218" s="9"/>
      <c r="B218" s="9"/>
      <c r="C218" s="9"/>
      <c r="D218" s="9"/>
      <c r="E218" s="9"/>
      <c r="F218" s="9"/>
      <c r="G218" s="75"/>
      <c r="H218" s="9"/>
      <c r="I218" s="75"/>
      <c r="J218" s="9"/>
    </row>
    <row r="219" spans="1:10" ht="15" customHeight="1">
      <c r="A219" s="9"/>
      <c r="B219" s="9"/>
      <c r="C219" s="9"/>
      <c r="D219" s="9"/>
      <c r="E219" s="9"/>
      <c r="F219" s="9"/>
      <c r="G219" s="75"/>
      <c r="H219" s="9"/>
      <c r="I219" s="75"/>
      <c r="J219" s="9"/>
    </row>
    <row r="220" spans="1:10" ht="15" customHeight="1">
      <c r="A220" s="9"/>
      <c r="B220" s="9"/>
      <c r="C220" s="9"/>
      <c r="D220" s="9"/>
      <c r="E220" s="9"/>
      <c r="F220" s="9"/>
      <c r="G220" s="75"/>
      <c r="H220" s="9"/>
      <c r="I220" s="75"/>
      <c r="J220" s="9"/>
    </row>
    <row r="221" spans="1:10" ht="15" customHeight="1">
      <c r="A221" s="9"/>
      <c r="B221" s="9"/>
      <c r="C221" s="9"/>
      <c r="D221" s="9"/>
      <c r="E221" s="9"/>
      <c r="F221" s="9"/>
      <c r="G221" s="75"/>
      <c r="H221" s="9"/>
      <c r="I221" s="75"/>
      <c r="J221" s="9"/>
    </row>
    <row r="222" spans="1:10" ht="15" customHeight="1">
      <c r="A222" s="9"/>
      <c r="B222" s="9"/>
      <c r="C222" s="9"/>
      <c r="D222" s="9"/>
      <c r="E222" s="9"/>
      <c r="F222" s="9"/>
      <c r="G222" s="75"/>
      <c r="H222" s="9"/>
      <c r="I222" s="75"/>
      <c r="J222" s="9"/>
    </row>
    <row r="223" spans="1:10" ht="15" customHeight="1">
      <c r="A223" s="9"/>
      <c r="B223" s="9"/>
      <c r="C223" s="9"/>
      <c r="D223" s="9"/>
      <c r="E223" s="9"/>
      <c r="F223" s="9"/>
      <c r="G223" s="75"/>
      <c r="H223" s="9"/>
      <c r="I223" s="75"/>
      <c r="J223" s="9"/>
    </row>
    <row r="224" spans="1:10" ht="15" customHeight="1">
      <c r="A224" s="9"/>
      <c r="B224" s="9"/>
      <c r="C224" s="9"/>
      <c r="D224" s="9"/>
      <c r="E224" s="9"/>
      <c r="F224" s="9"/>
      <c r="G224" s="75"/>
      <c r="H224" s="9"/>
      <c r="I224" s="75"/>
      <c r="J224" s="9"/>
    </row>
    <row r="225" spans="1:10" ht="15" customHeight="1">
      <c r="A225" s="9"/>
      <c r="B225" s="9"/>
      <c r="C225" s="9"/>
      <c r="D225" s="9"/>
      <c r="E225" s="9"/>
      <c r="F225" s="9"/>
      <c r="G225" s="75"/>
      <c r="H225" s="9"/>
      <c r="I225" s="75"/>
      <c r="J225" s="9"/>
    </row>
    <row r="226" spans="1:10" ht="15" customHeight="1">
      <c r="A226" s="9"/>
      <c r="B226" s="9"/>
      <c r="C226" s="9"/>
      <c r="D226" s="9"/>
      <c r="E226" s="9"/>
      <c r="F226" s="9"/>
      <c r="G226" s="75"/>
      <c r="H226" s="9"/>
      <c r="I226" s="75"/>
      <c r="J226" s="9"/>
    </row>
    <row r="227" spans="1:10" ht="15" customHeight="1">
      <c r="A227" s="9"/>
      <c r="B227" s="9"/>
      <c r="C227" s="9"/>
      <c r="D227" s="9"/>
      <c r="E227" s="9"/>
      <c r="F227" s="9"/>
      <c r="G227" s="75"/>
      <c r="H227" s="9"/>
      <c r="I227" s="75"/>
      <c r="J227" s="9"/>
    </row>
    <row r="228" spans="1:10" ht="15" customHeight="1">
      <c r="A228" s="9"/>
      <c r="B228" s="9"/>
      <c r="C228" s="9"/>
      <c r="D228" s="9"/>
      <c r="E228" s="9"/>
      <c r="F228" s="9"/>
      <c r="G228" s="75"/>
      <c r="H228" s="9"/>
      <c r="I228" s="75"/>
      <c r="J228" s="9"/>
    </row>
    <row r="229" spans="1:10" ht="15" customHeight="1">
      <c r="A229" s="9"/>
      <c r="B229" s="9"/>
      <c r="C229" s="9"/>
      <c r="D229" s="9"/>
      <c r="E229" s="9"/>
      <c r="F229" s="9"/>
      <c r="G229" s="75"/>
      <c r="H229" s="9"/>
      <c r="I229" s="75"/>
      <c r="J229" s="9"/>
    </row>
    <row r="230" spans="1:10" ht="15" customHeight="1">
      <c r="A230" s="9"/>
      <c r="B230" s="9"/>
      <c r="C230" s="9"/>
      <c r="D230" s="9"/>
      <c r="E230" s="9"/>
      <c r="F230" s="9"/>
      <c r="G230" s="75"/>
      <c r="H230" s="9"/>
      <c r="I230" s="75"/>
      <c r="J230" s="9"/>
    </row>
    <row r="231" spans="1:10" ht="15" customHeight="1">
      <c r="A231" s="9"/>
      <c r="B231" s="9"/>
      <c r="C231" s="9"/>
      <c r="D231" s="9"/>
      <c r="E231" s="9"/>
      <c r="F231" s="9"/>
      <c r="G231" s="75"/>
      <c r="H231" s="9"/>
      <c r="I231" s="75"/>
      <c r="J231" s="9"/>
    </row>
    <row r="232" spans="1:10" ht="15" customHeight="1">
      <c r="A232" s="9"/>
      <c r="B232" s="9"/>
      <c r="C232" s="9"/>
      <c r="D232" s="9"/>
      <c r="E232" s="9"/>
      <c r="F232" s="9"/>
      <c r="G232" s="75"/>
      <c r="H232" s="9"/>
      <c r="I232" s="75"/>
      <c r="J232" s="9"/>
    </row>
    <row r="233" spans="1:10" ht="15" customHeight="1">
      <c r="A233" s="9"/>
      <c r="B233" s="9"/>
      <c r="C233" s="9"/>
      <c r="D233" s="9"/>
      <c r="E233" s="9"/>
      <c r="F233" s="9"/>
      <c r="G233" s="75"/>
      <c r="H233" s="9"/>
      <c r="I233" s="75"/>
      <c r="J233" s="9"/>
    </row>
    <row r="234" spans="1:10" ht="15" customHeight="1">
      <c r="A234" s="9"/>
      <c r="B234" s="9"/>
      <c r="C234" s="9"/>
      <c r="D234" s="9"/>
      <c r="E234" s="9"/>
      <c r="F234" s="9"/>
      <c r="G234" s="75"/>
      <c r="H234" s="9"/>
      <c r="I234" s="75"/>
      <c r="J234" s="9"/>
    </row>
    <row r="235" spans="1:10" ht="15" customHeight="1">
      <c r="A235" s="9"/>
      <c r="B235" s="9"/>
      <c r="C235" s="9"/>
      <c r="D235" s="9"/>
      <c r="E235" s="9"/>
      <c r="F235" s="9"/>
      <c r="G235" s="75"/>
      <c r="H235" s="9"/>
      <c r="I235" s="75"/>
      <c r="J235" s="9"/>
    </row>
    <row r="236" spans="1:10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</row>
  </sheetData>
  <dataConsolidate/>
  <mergeCells count="172">
    <mergeCell ref="B182:F18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55:F155"/>
    <mergeCell ref="B165:F165"/>
    <mergeCell ref="B156:F156"/>
    <mergeCell ref="B157:F157"/>
    <mergeCell ref="B158:F158"/>
    <mergeCell ref="B96:I96"/>
    <mergeCell ref="B84:I84"/>
    <mergeCell ref="B172:F172"/>
    <mergeCell ref="B130:F130"/>
    <mergeCell ref="B131:F131"/>
    <mergeCell ref="B132:F132"/>
    <mergeCell ref="B166:F166"/>
    <mergeCell ref="B167:F167"/>
    <mergeCell ref="B168:F168"/>
    <mergeCell ref="B169:F169"/>
    <mergeCell ref="B124:F124"/>
    <mergeCell ref="B125:F125"/>
    <mergeCell ref="B126:F126"/>
    <mergeCell ref="B127:F127"/>
    <mergeCell ref="B128:F128"/>
    <mergeCell ref="B129:F129"/>
    <mergeCell ref="B170:F170"/>
    <mergeCell ref="B171:F171"/>
    <mergeCell ref="A121:J121"/>
    <mergeCell ref="B38:I38"/>
    <mergeCell ref="B39:I39"/>
    <mergeCell ref="B40:I40"/>
    <mergeCell ref="B138:F138"/>
    <mergeCell ref="B139:F139"/>
    <mergeCell ref="B140:F140"/>
    <mergeCell ref="B41:I41"/>
    <mergeCell ref="B42:I42"/>
    <mergeCell ref="B43:I43"/>
    <mergeCell ref="A53:J53"/>
    <mergeCell ref="A47:J47"/>
    <mergeCell ref="A45:I45"/>
    <mergeCell ref="A51:I51"/>
    <mergeCell ref="B85:I85"/>
    <mergeCell ref="B86:I86"/>
    <mergeCell ref="B87:I87"/>
    <mergeCell ref="B44:I44"/>
    <mergeCell ref="B48:I48"/>
    <mergeCell ref="B49:I49"/>
    <mergeCell ref="B50:I50"/>
    <mergeCell ref="B54:I54"/>
    <mergeCell ref="B55:I55"/>
    <mergeCell ref="B56:I56"/>
    <mergeCell ref="B57:I57"/>
    <mergeCell ref="A8:E8"/>
    <mergeCell ref="A9:E9"/>
    <mergeCell ref="A32:J32"/>
    <mergeCell ref="A15:I15"/>
    <mergeCell ref="A24:I24"/>
    <mergeCell ref="A30:I30"/>
    <mergeCell ref="A35:I35"/>
    <mergeCell ref="A37:J37"/>
    <mergeCell ref="A12:E12"/>
    <mergeCell ref="F12:J12"/>
    <mergeCell ref="B16:I16"/>
    <mergeCell ref="B17:I17"/>
    <mergeCell ref="B18:I18"/>
    <mergeCell ref="B19:I19"/>
    <mergeCell ref="B20:I20"/>
    <mergeCell ref="B21:I21"/>
    <mergeCell ref="B22:I22"/>
    <mergeCell ref="B23:I23"/>
    <mergeCell ref="B27:I27"/>
    <mergeCell ref="B28:I28"/>
    <mergeCell ref="B29:I29"/>
    <mergeCell ref="B33:I33"/>
    <mergeCell ref="B34:I34"/>
    <mergeCell ref="A1:J1"/>
    <mergeCell ref="A2:E2"/>
    <mergeCell ref="A26:J26"/>
    <mergeCell ref="A10:E10"/>
    <mergeCell ref="A11:E11"/>
    <mergeCell ref="A3:E3"/>
    <mergeCell ref="A4:E4"/>
    <mergeCell ref="A5:E5"/>
    <mergeCell ref="A6:E6"/>
    <mergeCell ref="A13:E13"/>
    <mergeCell ref="F2:J2"/>
    <mergeCell ref="F3:J3"/>
    <mergeCell ref="F7:J7"/>
    <mergeCell ref="F8:J8"/>
    <mergeCell ref="F9:J9"/>
    <mergeCell ref="F10:J10"/>
    <mergeCell ref="F11:J11"/>
    <mergeCell ref="G13:J13"/>
    <mergeCell ref="F6:H6"/>
    <mergeCell ref="I6:J6"/>
    <mergeCell ref="F4:H4"/>
    <mergeCell ref="F5:H5"/>
    <mergeCell ref="I5:J5"/>
    <mergeCell ref="A7:E7"/>
    <mergeCell ref="B58:I58"/>
    <mergeCell ref="B59:I59"/>
    <mergeCell ref="B73:I73"/>
    <mergeCell ref="B74:I74"/>
    <mergeCell ref="B75:I75"/>
    <mergeCell ref="B76:I76"/>
    <mergeCell ref="A90:J90"/>
    <mergeCell ref="A89:J89"/>
    <mergeCell ref="B77:I77"/>
    <mergeCell ref="B78:I78"/>
    <mergeCell ref="B79:I79"/>
    <mergeCell ref="A72:J72"/>
    <mergeCell ref="A62:I62"/>
    <mergeCell ref="A60:I60"/>
    <mergeCell ref="A70:I70"/>
    <mergeCell ref="A64:J64"/>
    <mergeCell ref="B65:I65"/>
    <mergeCell ref="B66:I66"/>
    <mergeCell ref="B67:I67"/>
    <mergeCell ref="B68:H68"/>
    <mergeCell ref="B69:I69"/>
    <mergeCell ref="A97:J97"/>
    <mergeCell ref="B133:F133"/>
    <mergeCell ref="B134:F134"/>
    <mergeCell ref="B135:F135"/>
    <mergeCell ref="B136:F136"/>
    <mergeCell ref="B137:F137"/>
    <mergeCell ref="B80:I80"/>
    <mergeCell ref="B81:I81"/>
    <mergeCell ref="B82:I82"/>
    <mergeCell ref="B83:I83"/>
    <mergeCell ref="B91:I91"/>
    <mergeCell ref="B92:I92"/>
    <mergeCell ref="B93:I93"/>
    <mergeCell ref="B94:I94"/>
    <mergeCell ref="B95:I95"/>
    <mergeCell ref="B100:E100"/>
    <mergeCell ref="B99:I99"/>
    <mergeCell ref="B101:I101"/>
    <mergeCell ref="B102:I102"/>
    <mergeCell ref="B103:E103"/>
    <mergeCell ref="B122:F122"/>
    <mergeCell ref="B123:F123"/>
    <mergeCell ref="A184:J184"/>
    <mergeCell ref="A185:J185"/>
    <mergeCell ref="B159:F159"/>
    <mergeCell ref="B160:F160"/>
    <mergeCell ref="B161:F161"/>
    <mergeCell ref="B162:F162"/>
    <mergeCell ref="B163:F163"/>
    <mergeCell ref="B164:F164"/>
    <mergeCell ref="B98:E98"/>
    <mergeCell ref="A105:J105"/>
    <mergeCell ref="B147:F147"/>
    <mergeCell ref="B148:F148"/>
    <mergeCell ref="B149:F149"/>
    <mergeCell ref="B150:F150"/>
    <mergeCell ref="B151:F151"/>
    <mergeCell ref="B152:F152"/>
    <mergeCell ref="B153:F153"/>
    <mergeCell ref="B141:F141"/>
    <mergeCell ref="B142:F142"/>
    <mergeCell ref="B143:F143"/>
    <mergeCell ref="B144:F144"/>
    <mergeCell ref="B145:F145"/>
    <mergeCell ref="B146:F146"/>
    <mergeCell ref="B154:F154"/>
  </mergeCells>
  <conditionalFormatting sqref="F4">
    <cfRule type="cellIs" dxfId="27" priority="9" operator="greaterThan">
      <formula>0</formula>
    </cfRule>
  </conditionalFormatting>
  <conditionalFormatting sqref="F5:F6">
    <cfRule type="notContainsBlanks" dxfId="26" priority="56">
      <formula>LEN(TRIM(F5))&gt;0</formula>
    </cfRule>
  </conditionalFormatting>
  <conditionalFormatting sqref="F7:F11 F13">
    <cfRule type="cellIs" dxfId="25" priority="58" operator="greaterThan">
      <formula>0</formula>
    </cfRule>
  </conditionalFormatting>
  <conditionalFormatting sqref="G98">
    <cfRule type="cellIs" dxfId="24" priority="36" operator="greaterThan">
      <formula>0</formula>
    </cfRule>
  </conditionalFormatting>
  <conditionalFormatting sqref="G100">
    <cfRule type="cellIs" dxfId="23" priority="40" operator="greaterThan">
      <formula>0</formula>
    </cfRule>
  </conditionalFormatting>
  <conditionalFormatting sqref="G103">
    <cfRule type="cellIs" dxfId="22" priority="38" operator="greaterThan">
      <formula>0</formula>
    </cfRule>
  </conditionalFormatting>
  <conditionalFormatting sqref="G126:G182">
    <cfRule type="cellIs" dxfId="21" priority="25" operator="greaterThan">
      <formula>0</formula>
    </cfRule>
  </conditionalFormatting>
  <conditionalFormatting sqref="G123:J182">
    <cfRule type="cellIs" dxfId="20" priority="20" operator="greaterThan">
      <formula>0</formula>
    </cfRule>
  </conditionalFormatting>
  <conditionalFormatting sqref="H107:H119">
    <cfRule type="cellIs" dxfId="19" priority="7" operator="greaterThan">
      <formula>0</formula>
    </cfRule>
  </conditionalFormatting>
  <conditionalFormatting sqref="I98">
    <cfRule type="cellIs" dxfId="18" priority="19" operator="greaterThan">
      <formula>0</formula>
    </cfRule>
  </conditionalFormatting>
  <conditionalFormatting sqref="I100">
    <cfRule type="cellIs" dxfId="17" priority="39" operator="greaterThan">
      <formula>0</formula>
    </cfRule>
  </conditionalFormatting>
  <conditionalFormatting sqref="I103">
    <cfRule type="cellIs" dxfId="16" priority="37" operator="greaterThan">
      <formula>0</formula>
    </cfRule>
  </conditionalFormatting>
  <conditionalFormatting sqref="I126:I182">
    <cfRule type="cellIs" dxfId="15" priority="24" operator="greaterThan">
      <formula>0</formula>
    </cfRule>
  </conditionalFormatting>
  <conditionalFormatting sqref="J4">
    <cfRule type="cellIs" dxfId="14" priority="8" operator="greaterThan">
      <formula>0</formula>
    </cfRule>
  </conditionalFormatting>
  <conditionalFormatting sqref="J91">
    <cfRule type="cellIs" dxfId="13" priority="42" operator="greaterThan">
      <formula>0</formula>
    </cfRule>
  </conditionalFormatting>
  <conditionalFormatting sqref="J99 J101:J102">
    <cfRule type="cellIs" dxfId="12" priority="43" operator="greaterThan">
      <formula>0</formula>
    </cfRule>
  </conditionalFormatting>
  <conditionalFormatting sqref="J123:J182">
    <cfRule type="cellIs" dxfId="11" priority="26" operator="greaterThan">
      <formula>0</formula>
    </cfRule>
  </conditionalFormatting>
  <conditionalFormatting sqref="E114:E119">
    <cfRule type="cellIs" dxfId="10" priority="5" operator="greaterThan">
      <formula>0</formula>
    </cfRule>
  </conditionalFormatting>
  <conditionalFormatting sqref="E107">
    <cfRule type="cellIs" dxfId="9" priority="4" operator="greaterThan">
      <formula>0</formula>
    </cfRule>
  </conditionalFormatting>
  <conditionalFormatting sqref="F12">
    <cfRule type="cellIs" dxfId="8" priority="2" operator="greaterThan">
      <formula>0</formula>
    </cfRule>
  </conditionalFormatting>
  <conditionalFormatting sqref="F12">
    <cfRule type="cellIs" dxfId="7" priority="1" operator="greaterThan">
      <formula>0</formula>
    </cfRule>
  </conditionalFormatting>
  <dataValidations count="5">
    <dataValidation type="decimal" operator="greaterThanOrEqual" allowBlank="1" showInputMessage="1" showErrorMessage="1" sqref="F7:F13 J68 G123:J182" xr:uid="{00000000-0002-0000-0100-000000000000}">
      <formula1>0</formula1>
    </dataValidation>
    <dataValidation type="list" showInputMessage="1" showErrorMessage="1" sqref="F6" xr:uid="{00000000-0002-0000-0100-000001000000}">
      <formula1>$N$1:$N$3</formula1>
    </dataValidation>
    <dataValidation operator="greaterThanOrEqual" allowBlank="1" showInputMessage="1" showErrorMessage="1" sqref="G13 I107:J119" xr:uid="{00000000-0002-0000-0100-000002000000}"/>
    <dataValidation type="list" operator="greaterThan" allowBlank="1" showInputMessage="1" showErrorMessage="1" sqref="F5" xr:uid="{00000000-0002-0000-0100-000003000000}">
      <formula1>$M$1:$M$2</formula1>
    </dataValidation>
    <dataValidation operator="greaterThan" allowBlank="1" showInputMessage="1" showErrorMessage="1" sqref="G5" xr:uid="{00000000-0002-0000-0100-000004000000}"/>
  </dataValidations>
  <pageMargins left="0.35433070866141736" right="0.15748031496062992" top="0.43307086614173229" bottom="0.31496062992125984" header="0.23622047244094491" footer="0.11811023622047245"/>
  <pageSetup paperSize="9" scale="69" orientation="portrait" r:id="rId1"/>
  <headerFooter>
    <oddHeader>&amp;C&amp;"-,Negrito"PLANILHA DE COMPOSIÇÃO DE CUSTOS</oddHeader>
    <oddFooter>&amp;R&amp;8&amp;P/&amp;N</oddFooter>
  </headerFooter>
  <rowBreaks count="2" manualBreakCount="2">
    <brk id="63" max="16383" man="1"/>
    <brk id="120" max="16383" man="1"/>
  </rowBreaks>
  <ignoredErrors>
    <ignoredError sqref="J100 J103 J98 J107:J109 J111 J113 H114:H117" unlockedFormula="1"/>
    <ignoredError sqref="E108 E110 E112" formula="1"/>
    <ignoredError sqref="J110 J112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74C5-3629-4D69-927A-6C3577CD15D9}">
  <sheetPr>
    <tabColor rgb="FF00B050"/>
  </sheetPr>
  <dimension ref="B1:N39"/>
  <sheetViews>
    <sheetView showGridLines="0" zoomScaleNormal="100" workbookViewId="0">
      <selection activeCell="G16" sqref="G16"/>
    </sheetView>
  </sheetViews>
  <sheetFormatPr defaultColWidth="9.140625" defaultRowHeight="12"/>
  <cols>
    <col min="1" max="1" width="2.140625" style="207" customWidth="1"/>
    <col min="2" max="2" width="3" style="207" customWidth="1"/>
    <col min="3" max="3" width="48.5703125" style="207" customWidth="1"/>
    <col min="4" max="5" width="9.140625" style="207"/>
    <col min="6" max="9" width="12.85546875" style="207" customWidth="1"/>
    <col min="10" max="10" width="1.7109375" style="207" customWidth="1"/>
    <col min="11" max="11" width="15.28515625" style="207" bestFit="1" customWidth="1"/>
    <col min="12" max="12" width="7" style="207" bestFit="1" customWidth="1"/>
    <col min="13" max="13" width="9.140625" style="207"/>
    <col min="14" max="14" width="10" style="207" bestFit="1" customWidth="1"/>
    <col min="15" max="16384" width="9.140625" style="207"/>
  </cols>
  <sheetData>
    <row r="1" spans="2:14" ht="14.25" customHeight="1">
      <c r="B1" s="208"/>
    </row>
    <row r="2" spans="2:14" ht="9.75" customHeight="1">
      <c r="B2" s="208"/>
    </row>
    <row r="3" spans="2:14" ht="18.75" customHeight="1">
      <c r="B3" s="358" t="s">
        <v>161</v>
      </c>
      <c r="C3" s="358"/>
      <c r="D3" s="358"/>
      <c r="E3" s="358"/>
      <c r="F3" s="358"/>
      <c r="G3" s="358"/>
      <c r="H3" s="358"/>
      <c r="I3" s="358"/>
      <c r="J3" s="205"/>
    </row>
    <row r="4" spans="2:14" ht="24" customHeight="1">
      <c r="B4" s="359" t="s">
        <v>162</v>
      </c>
      <c r="C4" s="359"/>
      <c r="D4" s="359" t="s">
        <v>163</v>
      </c>
      <c r="E4" s="359" t="s">
        <v>164</v>
      </c>
      <c r="F4" s="359" t="s">
        <v>165</v>
      </c>
      <c r="G4" s="215" t="s">
        <v>166</v>
      </c>
      <c r="H4" s="215" t="s">
        <v>167</v>
      </c>
      <c r="I4" s="215" t="s">
        <v>168</v>
      </c>
    </row>
    <row r="5" spans="2:14">
      <c r="B5" s="359"/>
      <c r="C5" s="359"/>
      <c r="D5" s="359"/>
      <c r="E5" s="359"/>
      <c r="F5" s="359"/>
      <c r="G5" s="359" t="s">
        <v>169</v>
      </c>
      <c r="H5" s="359"/>
      <c r="I5" s="359"/>
    </row>
    <row r="6" spans="2:14">
      <c r="B6" s="359"/>
      <c r="C6" s="359"/>
      <c r="D6" s="359"/>
      <c r="E6" s="359"/>
      <c r="F6" s="359"/>
      <c r="G6" s="215">
        <v>1</v>
      </c>
      <c r="H6" s="215">
        <v>1.37</v>
      </c>
      <c r="I6" s="215">
        <v>2</v>
      </c>
      <c r="L6" s="206"/>
      <c r="N6" s="230"/>
    </row>
    <row r="7" spans="2:14">
      <c r="B7" s="359"/>
      <c r="C7" s="359"/>
      <c r="D7" s="359"/>
      <c r="E7" s="359"/>
      <c r="F7" s="359"/>
      <c r="G7" s="359" t="s">
        <v>170</v>
      </c>
      <c r="H7" s="359"/>
      <c r="I7" s="359"/>
      <c r="L7" s="206"/>
    </row>
    <row r="8" spans="2:14">
      <c r="B8" s="216">
        <v>1</v>
      </c>
      <c r="C8" s="217" t="s">
        <v>171</v>
      </c>
      <c r="D8" s="218">
        <v>12</v>
      </c>
      <c r="E8" s="214">
        <v>123.422</v>
      </c>
      <c r="F8" s="218">
        <v>2</v>
      </c>
      <c r="G8" s="228">
        <f t="shared" ref="G8:I15" si="0">ROUND(($E8/$D8)*$F8*G$6,2)</f>
        <v>20.57</v>
      </c>
      <c r="H8" s="228">
        <f t="shared" si="0"/>
        <v>28.18</v>
      </c>
      <c r="I8" s="228">
        <f t="shared" si="0"/>
        <v>41.14</v>
      </c>
      <c r="L8" s="26"/>
    </row>
    <row r="9" spans="2:14">
      <c r="B9" s="219">
        <v>2</v>
      </c>
      <c r="C9" s="220" t="s">
        <v>172</v>
      </c>
      <c r="D9" s="221">
        <v>12</v>
      </c>
      <c r="E9" s="214">
        <v>128.915592</v>
      </c>
      <c r="F9" s="221">
        <v>2</v>
      </c>
      <c r="G9" s="228">
        <f t="shared" si="0"/>
        <v>21.49</v>
      </c>
      <c r="H9" s="228">
        <f t="shared" si="0"/>
        <v>29.44</v>
      </c>
      <c r="I9" s="228">
        <f t="shared" si="0"/>
        <v>42.97</v>
      </c>
      <c r="L9" s="209"/>
    </row>
    <row r="10" spans="2:14">
      <c r="B10" s="216">
        <v>3</v>
      </c>
      <c r="C10" s="217" t="s">
        <v>173</v>
      </c>
      <c r="D10" s="218">
        <v>12</v>
      </c>
      <c r="E10" s="214">
        <v>107.15130400000001</v>
      </c>
      <c r="F10" s="218">
        <v>2</v>
      </c>
      <c r="G10" s="228">
        <f t="shared" si="0"/>
        <v>17.86</v>
      </c>
      <c r="H10" s="228">
        <f t="shared" si="0"/>
        <v>24.47</v>
      </c>
      <c r="I10" s="228">
        <f t="shared" si="0"/>
        <v>35.72</v>
      </c>
      <c r="L10" s="26"/>
    </row>
    <row r="11" spans="2:14">
      <c r="B11" s="219">
        <v>4</v>
      </c>
      <c r="C11" s="220" t="s">
        <v>174</v>
      </c>
      <c r="D11" s="221">
        <v>12</v>
      </c>
      <c r="E11" s="214">
        <v>83.685367999999997</v>
      </c>
      <c r="F11" s="221">
        <v>1</v>
      </c>
      <c r="G11" s="228">
        <f t="shared" si="0"/>
        <v>6.97</v>
      </c>
      <c r="H11" s="228">
        <f t="shared" si="0"/>
        <v>9.5500000000000007</v>
      </c>
      <c r="I11" s="228">
        <f t="shared" si="0"/>
        <v>13.95</v>
      </c>
      <c r="L11" s="209"/>
    </row>
    <row r="12" spans="2:14">
      <c r="B12" s="216">
        <v>5</v>
      </c>
      <c r="C12" s="217" t="s">
        <v>175</v>
      </c>
      <c r="D12" s="218">
        <v>12</v>
      </c>
      <c r="E12" s="214">
        <v>6.7960880000000001</v>
      </c>
      <c r="F12" s="218">
        <v>2</v>
      </c>
      <c r="G12" s="228">
        <f t="shared" si="0"/>
        <v>1.1299999999999999</v>
      </c>
      <c r="H12" s="228">
        <f t="shared" si="0"/>
        <v>1.55</v>
      </c>
      <c r="I12" s="228">
        <f t="shared" si="0"/>
        <v>2.27</v>
      </c>
      <c r="L12" s="26"/>
    </row>
    <row r="13" spans="2:14">
      <c r="B13" s="219">
        <v>6</v>
      </c>
      <c r="C13" s="220" t="s">
        <v>176</v>
      </c>
      <c r="D13" s="221">
        <v>12</v>
      </c>
      <c r="E13" s="214">
        <v>14.863160000000001</v>
      </c>
      <c r="F13" s="221">
        <v>1</v>
      </c>
      <c r="G13" s="228">
        <f t="shared" si="0"/>
        <v>1.24</v>
      </c>
      <c r="H13" s="228">
        <f t="shared" si="0"/>
        <v>1.7</v>
      </c>
      <c r="I13" s="228">
        <f t="shared" si="0"/>
        <v>2.48</v>
      </c>
      <c r="L13" s="209"/>
    </row>
    <row r="14" spans="2:14">
      <c r="B14" s="216">
        <v>7</v>
      </c>
      <c r="C14" s="217" t="s">
        <v>177</v>
      </c>
      <c r="D14" s="218">
        <v>12</v>
      </c>
      <c r="E14" s="214">
        <v>99.745983999999993</v>
      </c>
      <c r="F14" s="218">
        <v>1</v>
      </c>
      <c r="G14" s="228">
        <f t="shared" si="0"/>
        <v>8.31</v>
      </c>
      <c r="H14" s="228">
        <f t="shared" si="0"/>
        <v>11.39</v>
      </c>
      <c r="I14" s="228">
        <f t="shared" si="0"/>
        <v>16.62</v>
      </c>
      <c r="L14" s="26"/>
    </row>
    <row r="15" spans="2:14">
      <c r="B15" s="219">
        <v>8</v>
      </c>
      <c r="C15" s="220" t="s">
        <v>178</v>
      </c>
      <c r="D15" s="221">
        <v>12</v>
      </c>
      <c r="E15" s="214">
        <v>5.9007540000000009</v>
      </c>
      <c r="F15" s="221">
        <v>1</v>
      </c>
      <c r="G15" s="228">
        <f t="shared" si="0"/>
        <v>0.49</v>
      </c>
      <c r="H15" s="228">
        <f t="shared" si="0"/>
        <v>0.67</v>
      </c>
      <c r="I15" s="228">
        <f t="shared" si="0"/>
        <v>0.98</v>
      </c>
      <c r="L15" s="209"/>
    </row>
    <row r="16" spans="2:14">
      <c r="B16" s="356" t="s">
        <v>179</v>
      </c>
      <c r="C16" s="356"/>
      <c r="D16" s="356"/>
      <c r="E16" s="356"/>
      <c r="F16" s="356"/>
      <c r="G16" s="229">
        <f>+SUM(G8:G15)</f>
        <v>78.059999999999988</v>
      </c>
      <c r="H16" s="229">
        <f>+SUM(H8:H15)</f>
        <v>106.95</v>
      </c>
      <c r="I16" s="229">
        <f>+SUM(I8:I15)</f>
        <v>156.13</v>
      </c>
      <c r="K16" s="269"/>
    </row>
    <row r="17" spans="2:11">
      <c r="B17" s="208"/>
    </row>
    <row r="18" spans="2:11" ht="18" customHeight="1">
      <c r="B18" s="357" t="s">
        <v>180</v>
      </c>
      <c r="C18" s="357"/>
      <c r="D18" s="357"/>
      <c r="E18" s="357"/>
      <c r="F18" s="357"/>
      <c r="G18" s="357"/>
      <c r="H18" s="357"/>
      <c r="I18" s="357"/>
      <c r="J18" s="205"/>
    </row>
    <row r="19" spans="2:11" ht="12" customHeight="1">
      <c r="B19" s="359" t="s">
        <v>181</v>
      </c>
      <c r="C19" s="359"/>
      <c r="D19" s="359" t="s">
        <v>182</v>
      </c>
      <c r="E19" s="359" t="s">
        <v>164</v>
      </c>
      <c r="F19" s="359" t="s">
        <v>183</v>
      </c>
      <c r="G19" s="359"/>
      <c r="H19" s="359"/>
      <c r="I19" s="359"/>
      <c r="K19" s="359" t="s">
        <v>184</v>
      </c>
    </row>
    <row r="20" spans="2:11" ht="24">
      <c r="B20" s="359"/>
      <c r="C20" s="359"/>
      <c r="D20" s="359"/>
      <c r="E20" s="359"/>
      <c r="F20" s="215" t="s">
        <v>166</v>
      </c>
      <c r="G20" s="215" t="s">
        <v>185</v>
      </c>
      <c r="H20" s="215" t="s">
        <v>186</v>
      </c>
      <c r="I20" s="215" t="s">
        <v>187</v>
      </c>
      <c r="K20" s="359"/>
    </row>
    <row r="21" spans="2:11">
      <c r="B21" s="216">
        <v>1</v>
      </c>
      <c r="C21" s="222" t="s">
        <v>188</v>
      </c>
      <c r="D21" s="218">
        <v>60</v>
      </c>
      <c r="E21" s="214">
        <v>1219.375882</v>
      </c>
      <c r="F21" s="218">
        <v>1</v>
      </c>
      <c r="G21" s="218">
        <v>1</v>
      </c>
      <c r="H21" s="218">
        <v>1</v>
      </c>
      <c r="I21" s="218">
        <v>1</v>
      </c>
      <c r="K21" s="231">
        <f t="shared" ref="K21:K33" si="1">ROUND(E21/D21,2)</f>
        <v>20.32</v>
      </c>
    </row>
    <row r="22" spans="2:11">
      <c r="B22" s="219">
        <v>2</v>
      </c>
      <c r="C22" s="223" t="s">
        <v>189</v>
      </c>
      <c r="D22" s="221">
        <v>60</v>
      </c>
      <c r="E22" s="214">
        <v>84.824626000000009</v>
      </c>
      <c r="F22" s="221">
        <v>1</v>
      </c>
      <c r="G22" s="221">
        <v>1</v>
      </c>
      <c r="H22" s="221">
        <v>1</v>
      </c>
      <c r="I22" s="221">
        <v>1</v>
      </c>
      <c r="K22" s="231">
        <f t="shared" si="1"/>
        <v>1.41</v>
      </c>
    </row>
    <row r="23" spans="2:11">
      <c r="B23" s="216">
        <v>3</v>
      </c>
      <c r="C23" s="222" t="s">
        <v>190</v>
      </c>
      <c r="D23" s="218">
        <v>30</v>
      </c>
      <c r="E23" s="214">
        <v>33.365520000000004</v>
      </c>
      <c r="F23" s="218">
        <v>1</v>
      </c>
      <c r="G23" s="218">
        <v>1.37</v>
      </c>
      <c r="H23" s="218">
        <v>2</v>
      </c>
      <c r="I23" s="218">
        <v>2</v>
      </c>
      <c r="K23" s="231">
        <f t="shared" si="1"/>
        <v>1.1100000000000001</v>
      </c>
    </row>
    <row r="24" spans="2:11">
      <c r="B24" s="219">
        <v>4</v>
      </c>
      <c r="C24" s="223" t="s">
        <v>191</v>
      </c>
      <c r="D24" s="221">
        <v>120</v>
      </c>
      <c r="E24" s="214">
        <v>5772.1731720000007</v>
      </c>
      <c r="F24" s="221">
        <v>1</v>
      </c>
      <c r="G24" s="221">
        <v>1</v>
      </c>
      <c r="H24" s="221">
        <v>1</v>
      </c>
      <c r="I24" s="221">
        <v>1</v>
      </c>
      <c r="K24" s="231">
        <f t="shared" si="1"/>
        <v>48.1</v>
      </c>
    </row>
    <row r="25" spans="2:11">
      <c r="B25" s="216">
        <v>5</v>
      </c>
      <c r="C25" s="222" t="s">
        <v>192</v>
      </c>
      <c r="D25" s="218">
        <v>30</v>
      </c>
      <c r="E25" s="214">
        <v>11.750018000000001</v>
      </c>
      <c r="F25" s="218">
        <v>1</v>
      </c>
      <c r="G25" s="218">
        <v>1</v>
      </c>
      <c r="H25" s="218">
        <v>1</v>
      </c>
      <c r="I25" s="218">
        <v>1</v>
      </c>
      <c r="K25" s="231">
        <f t="shared" si="1"/>
        <v>0.39</v>
      </c>
    </row>
    <row r="26" spans="2:11" ht="24">
      <c r="B26" s="219">
        <v>6</v>
      </c>
      <c r="C26" s="223" t="s">
        <v>193</v>
      </c>
      <c r="D26" s="221">
        <v>12</v>
      </c>
      <c r="E26" s="214">
        <v>83.032774000000003</v>
      </c>
      <c r="F26" s="221">
        <v>1</v>
      </c>
      <c r="G26" s="221">
        <v>1</v>
      </c>
      <c r="H26" s="221">
        <v>1</v>
      </c>
      <c r="I26" s="221">
        <v>1</v>
      </c>
      <c r="K26" s="231">
        <f t="shared" si="1"/>
        <v>6.92</v>
      </c>
    </row>
    <row r="27" spans="2:11">
      <c r="B27" s="216">
        <v>7</v>
      </c>
      <c r="C27" s="222" t="s">
        <v>194</v>
      </c>
      <c r="D27" s="218">
        <v>30</v>
      </c>
      <c r="E27" s="214">
        <v>39.739982000000005</v>
      </c>
      <c r="F27" s="218">
        <v>1</v>
      </c>
      <c r="G27" s="218">
        <v>1</v>
      </c>
      <c r="H27" s="218">
        <v>1</v>
      </c>
      <c r="I27" s="218">
        <v>1</v>
      </c>
      <c r="K27" s="231">
        <f t="shared" si="1"/>
        <v>1.32</v>
      </c>
    </row>
    <row r="28" spans="2:11">
      <c r="B28" s="219">
        <v>8</v>
      </c>
      <c r="C28" s="223" t="s">
        <v>195</v>
      </c>
      <c r="D28" s="221">
        <v>30</v>
      </c>
      <c r="E28" s="214">
        <v>20.142887999999999</v>
      </c>
      <c r="F28" s="221">
        <v>1</v>
      </c>
      <c r="G28" s="221">
        <v>1</v>
      </c>
      <c r="H28" s="221">
        <v>1</v>
      </c>
      <c r="I28" s="221">
        <v>1</v>
      </c>
      <c r="K28" s="231">
        <f t="shared" si="1"/>
        <v>0.67</v>
      </c>
    </row>
    <row r="29" spans="2:11" ht="24">
      <c r="B29" s="216">
        <v>9</v>
      </c>
      <c r="C29" s="222" t="s">
        <v>196</v>
      </c>
      <c r="D29" s="218">
        <v>30</v>
      </c>
      <c r="E29" s="214">
        <v>74.959142000000014</v>
      </c>
      <c r="F29" s="218">
        <v>0.5</v>
      </c>
      <c r="G29" s="218">
        <v>0.5</v>
      </c>
      <c r="H29" s="218">
        <v>0.5</v>
      </c>
      <c r="I29" s="218">
        <v>0.5</v>
      </c>
      <c r="K29" s="231">
        <f t="shared" si="1"/>
        <v>2.5</v>
      </c>
    </row>
    <row r="30" spans="2:11">
      <c r="B30" s="219">
        <v>10</v>
      </c>
      <c r="C30" s="223" t="s">
        <v>197</v>
      </c>
      <c r="D30" s="221">
        <v>36</v>
      </c>
      <c r="E30" s="214">
        <v>33.777439999999999</v>
      </c>
      <c r="F30" s="221">
        <v>0</v>
      </c>
      <c r="G30" s="221">
        <v>0</v>
      </c>
      <c r="H30" s="221">
        <v>0</v>
      </c>
      <c r="I30" s="221">
        <v>1</v>
      </c>
      <c r="K30" s="231">
        <f t="shared" si="1"/>
        <v>0.94</v>
      </c>
    </row>
    <row r="31" spans="2:11">
      <c r="B31" s="216">
        <v>11</v>
      </c>
      <c r="C31" s="222" t="s">
        <v>198</v>
      </c>
      <c r="D31" s="218">
        <v>30</v>
      </c>
      <c r="E31" s="214">
        <v>36.588794</v>
      </c>
      <c r="F31" s="218">
        <v>1</v>
      </c>
      <c r="G31" s="218">
        <v>1</v>
      </c>
      <c r="H31" s="218">
        <v>1</v>
      </c>
      <c r="I31" s="218">
        <v>1</v>
      </c>
      <c r="K31" s="231">
        <f t="shared" si="1"/>
        <v>1.22</v>
      </c>
    </row>
    <row r="32" spans="2:11">
      <c r="B32" s="219">
        <v>12</v>
      </c>
      <c r="C32" s="223" t="s">
        <v>199</v>
      </c>
      <c r="D32" s="221">
        <v>30</v>
      </c>
      <c r="E32" s="214">
        <v>34.220253999999997</v>
      </c>
      <c r="F32" s="221">
        <v>1</v>
      </c>
      <c r="G32" s="221">
        <v>1</v>
      </c>
      <c r="H32" s="221">
        <v>1</v>
      </c>
      <c r="I32" s="221">
        <v>1</v>
      </c>
      <c r="K32" s="231">
        <f t="shared" si="1"/>
        <v>1.1399999999999999</v>
      </c>
    </row>
    <row r="33" spans="2:11">
      <c r="B33" s="216">
        <v>13</v>
      </c>
      <c r="C33" s="222" t="s">
        <v>200</v>
      </c>
      <c r="D33" s="218">
        <v>30</v>
      </c>
      <c r="E33" s="214">
        <v>34.220253999999997</v>
      </c>
      <c r="F33" s="218">
        <v>1</v>
      </c>
      <c r="G33" s="218">
        <v>1</v>
      </c>
      <c r="H33" s="218">
        <v>1</v>
      </c>
      <c r="I33" s="218">
        <v>1</v>
      </c>
      <c r="K33" s="231">
        <f t="shared" si="1"/>
        <v>1.1399999999999999</v>
      </c>
    </row>
    <row r="34" spans="2:11" ht="15.75" customHeight="1">
      <c r="B34" s="360"/>
      <c r="C34" s="360"/>
      <c r="D34" s="360"/>
      <c r="E34" s="233"/>
      <c r="F34" s="359" t="s">
        <v>201</v>
      </c>
      <c r="G34" s="359"/>
      <c r="H34" s="359"/>
      <c r="I34" s="359"/>
      <c r="K34" s="213"/>
    </row>
    <row r="35" spans="2:11" ht="12" customHeight="1">
      <c r="B35" s="364" t="s">
        <v>202</v>
      </c>
      <c r="C35" s="365"/>
      <c r="D35" s="365"/>
      <c r="E35" s="366"/>
      <c r="F35" s="224">
        <f>SUMPRODUCT(F$21:F$33,$K$21:$K$33)-F26*K26</f>
        <v>78.069999999999993</v>
      </c>
      <c r="G35" s="224">
        <f>SUMPRODUCT(G$21:G$33,$K$21:$K$33)-G26*K26</f>
        <v>78.480699999999999</v>
      </c>
      <c r="H35" s="224">
        <f>SUMPRODUCT(H$21:H$33,$K$21:$K$33)-H26*K26</f>
        <v>79.179999999999993</v>
      </c>
      <c r="I35" s="224">
        <f>SUMPRODUCT(I$21:I$33,$K$21:$K$33)-I26*K26</f>
        <v>80.11999999999999</v>
      </c>
      <c r="K35" s="210"/>
    </row>
    <row r="36" spans="2:11" ht="12" customHeight="1">
      <c r="B36" s="361" t="s">
        <v>203</v>
      </c>
      <c r="C36" s="362"/>
      <c r="D36" s="362"/>
      <c r="E36" s="363"/>
      <c r="F36" s="224">
        <f>SUMPRODUCT(F$21:F$33,$K$21:$K$33)-SUMPRODUCT(F23:F25,K23:K25)</f>
        <v>35.389999999999993</v>
      </c>
      <c r="G36" s="224">
        <f>SUMPRODUCT(G$21:G$33,$K$21:$K$33)-SUMPRODUCT(G23:G25,K23:K25)</f>
        <v>35.39</v>
      </c>
      <c r="H36" s="224">
        <f>SUMPRODUCT(H$21:H$33,$K$21:$K$33)-SUMPRODUCT(H23:H25,K23:K25)</f>
        <v>35.389999999999993</v>
      </c>
      <c r="I36" s="224">
        <f>SUMPRODUCT(I$21:I$33,$K$21:$K$33)-SUMPRODUCT(I23:I25,K23:K25)</f>
        <v>36.329999999999991</v>
      </c>
      <c r="K36" s="211"/>
    </row>
    <row r="37" spans="2:11" ht="12" customHeight="1">
      <c r="B37" s="361" t="s">
        <v>204</v>
      </c>
      <c r="C37" s="362"/>
      <c r="D37" s="362"/>
      <c r="E37" s="363"/>
      <c r="F37" s="224">
        <f>SUMPRODUCT(F$21:F$33,$K$21:$K$33)-SUMPRODUCT(F23:F26,$K$23:$K$26)</f>
        <v>28.469999999999992</v>
      </c>
      <c r="G37" s="224">
        <f>SUMPRODUCT(G$21:G$33,$K$21:$K$33)-SUMPRODUCT(G23:G26,$K$23:$K$26)</f>
        <v>28.47</v>
      </c>
      <c r="H37" s="224">
        <f>SUMPRODUCT(H$21:H$33,$K$21:$K$33)-SUMPRODUCT(H23:H26,$K$23:$K$26)</f>
        <v>28.469999999999992</v>
      </c>
      <c r="I37" s="224">
        <f>SUMPRODUCT(I$21:I$33,$K$21:$K$33)-SUMPRODUCT(I23:I26,$K$23:$K$26)</f>
        <v>29.409999999999989</v>
      </c>
      <c r="K37" s="211"/>
    </row>
    <row r="38" spans="2:11" ht="3.75" customHeight="1">
      <c r="B38" s="212"/>
      <c r="C38" s="212"/>
      <c r="D38" s="212"/>
      <c r="E38" s="212"/>
      <c r="F38" s="210"/>
      <c r="G38" s="210"/>
      <c r="H38" s="210"/>
      <c r="I38" s="210"/>
      <c r="K38" s="211"/>
    </row>
    <row r="39" spans="2:11" ht="14.25" customHeight="1">
      <c r="B39" s="356" t="s">
        <v>205</v>
      </c>
      <c r="C39" s="356"/>
      <c r="D39" s="356"/>
      <c r="E39" s="232"/>
      <c r="F39" s="227">
        <v>1</v>
      </c>
      <c r="G39" s="226">
        <v>1.37</v>
      </c>
      <c r="H39" s="227">
        <v>2</v>
      </c>
      <c r="I39" s="227">
        <v>2</v>
      </c>
      <c r="K39" s="211"/>
    </row>
  </sheetData>
  <mergeCells count="20">
    <mergeCell ref="B39:D39"/>
    <mergeCell ref="F34:I34"/>
    <mergeCell ref="B34:D34"/>
    <mergeCell ref="B37:E37"/>
    <mergeCell ref="K19:K20"/>
    <mergeCell ref="B19:C20"/>
    <mergeCell ref="D19:D20"/>
    <mergeCell ref="F19:I19"/>
    <mergeCell ref="E19:E20"/>
    <mergeCell ref="B35:E35"/>
    <mergeCell ref="B36:E36"/>
    <mergeCell ref="B16:F16"/>
    <mergeCell ref="B18:I18"/>
    <mergeCell ref="B3:I3"/>
    <mergeCell ref="G5:I5"/>
    <mergeCell ref="F4:F7"/>
    <mergeCell ref="G7:I7"/>
    <mergeCell ref="D4:D7"/>
    <mergeCell ref="B4:C7"/>
    <mergeCell ref="E4:E7"/>
  </mergeCells>
  <conditionalFormatting sqref="E8:E15">
    <cfRule type="cellIs" dxfId="6" priority="2" operator="greaterThan">
      <formula>0</formula>
    </cfRule>
  </conditionalFormatting>
  <conditionalFormatting sqref="E21:E33">
    <cfRule type="cellIs" dxfId="5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I881"/>
  <sheetViews>
    <sheetView showGridLines="0" zoomScaleNormal="100" workbookViewId="0">
      <pane xSplit="4" ySplit="2" topLeftCell="E3" activePane="bottomRight" state="frozen"/>
      <selection pane="bottomRight" activeCell="V1" sqref="V1:V2"/>
      <selection pane="bottomLeft" activeCell="M40" sqref="M40"/>
      <selection pane="topRight" activeCell="M40" sqref="M40"/>
    </sheetView>
  </sheetViews>
  <sheetFormatPr defaultColWidth="9.140625" defaultRowHeight="12"/>
  <cols>
    <col min="1" max="1" width="4" style="6" customWidth="1"/>
    <col min="2" max="2" width="8.7109375" style="6" customWidth="1"/>
    <col min="3" max="3" width="7.7109375" style="6" customWidth="1"/>
    <col min="4" max="4" width="34.5703125" style="28" customWidth="1"/>
    <col min="5" max="5" width="9.7109375" style="28" customWidth="1"/>
    <col min="6" max="6" width="5.140625" style="28" customWidth="1"/>
    <col min="7" max="7" width="7.85546875" style="28" customWidth="1"/>
    <col min="8" max="8" width="8.7109375" style="28" customWidth="1"/>
    <col min="9" max="10" width="9.140625" style="28" customWidth="1"/>
    <col min="11" max="11" width="7.28515625" style="29" customWidth="1"/>
    <col min="12" max="13" width="8.85546875" style="29" customWidth="1"/>
    <col min="14" max="14" width="8.5703125" style="29" customWidth="1"/>
    <col min="15" max="15" width="8.85546875" style="30" customWidth="1"/>
    <col min="16" max="16" width="9.42578125" style="29" customWidth="1"/>
    <col min="17" max="17" width="11.5703125" style="29" bestFit="1" customWidth="1"/>
    <col min="18" max="18" width="12.5703125" style="29" bestFit="1" customWidth="1"/>
    <col min="19" max="19" width="11.42578125" style="29" customWidth="1"/>
    <col min="20" max="20" width="6.42578125" style="40" customWidth="1"/>
    <col min="21" max="21" width="13.7109375" style="30" customWidth="1"/>
    <col min="22" max="22" width="11.42578125" style="6" customWidth="1"/>
    <col min="23" max="23" width="14.28515625" style="25" customWidth="1"/>
    <col min="24" max="24" width="0.42578125" style="25" customWidth="1"/>
    <col min="25" max="25" width="11.42578125" style="25" customWidth="1"/>
    <col min="26" max="26" width="8.42578125" style="25" customWidth="1"/>
    <col min="27" max="27" width="11.28515625" style="25" customWidth="1"/>
    <col min="28" max="28" width="0.5703125" style="25" customWidth="1"/>
    <col min="29" max="29" width="8.7109375" style="25" hidden="1" customWidth="1"/>
    <col min="30" max="30" width="8.7109375" style="25" customWidth="1"/>
    <col min="31" max="31" width="10.42578125" style="25" bestFit="1" customWidth="1"/>
    <col min="32" max="36" width="9.140625" style="25"/>
    <col min="37" max="37" width="10" style="25" bestFit="1" customWidth="1"/>
    <col min="38" max="347" width="9.140625" style="25"/>
    <col min="348" max="16384" width="9.140625" style="6"/>
  </cols>
  <sheetData>
    <row r="1" spans="1:347">
      <c r="A1" s="375" t="s">
        <v>151</v>
      </c>
      <c r="B1" s="375" t="s">
        <v>206</v>
      </c>
      <c r="C1" s="375" t="s">
        <v>119</v>
      </c>
      <c r="D1" s="375" t="s">
        <v>120</v>
      </c>
      <c r="E1" s="367" t="s">
        <v>121</v>
      </c>
      <c r="F1" s="375" t="s">
        <v>207</v>
      </c>
      <c r="G1" s="375" t="s">
        <v>208</v>
      </c>
      <c r="H1" s="367" t="s">
        <v>209</v>
      </c>
      <c r="I1" s="367" t="s">
        <v>210</v>
      </c>
      <c r="J1" s="367" t="s">
        <v>211</v>
      </c>
      <c r="K1" s="367" t="s">
        <v>212</v>
      </c>
      <c r="L1" s="377" t="s">
        <v>213</v>
      </c>
      <c r="M1" s="377"/>
      <c r="N1" s="377"/>
      <c r="O1" s="377"/>
      <c r="P1" s="377"/>
      <c r="Q1" s="377"/>
      <c r="R1" s="367" t="s">
        <v>214</v>
      </c>
      <c r="S1" s="367" t="s">
        <v>215</v>
      </c>
      <c r="T1" s="367" t="s">
        <v>216</v>
      </c>
      <c r="U1" s="367" t="s">
        <v>217</v>
      </c>
      <c r="V1" s="367" t="s">
        <v>218</v>
      </c>
      <c r="W1" s="367" t="s">
        <v>219</v>
      </c>
      <c r="X1" s="20"/>
      <c r="Y1" s="367" t="s">
        <v>220</v>
      </c>
      <c r="Z1" s="367" t="s">
        <v>221</v>
      </c>
      <c r="AA1" s="367" t="s">
        <v>222</v>
      </c>
      <c r="AC1" s="367" t="s">
        <v>223</v>
      </c>
      <c r="AD1" s="367" t="s">
        <v>224</v>
      </c>
      <c r="MI1" s="6"/>
    </row>
    <row r="2" spans="1:347" ht="48">
      <c r="A2" s="376"/>
      <c r="B2" s="376"/>
      <c r="C2" s="376"/>
      <c r="D2" s="376"/>
      <c r="E2" s="368"/>
      <c r="F2" s="376"/>
      <c r="G2" s="376"/>
      <c r="H2" s="368"/>
      <c r="I2" s="368"/>
      <c r="J2" s="368"/>
      <c r="K2" s="368"/>
      <c r="L2" s="149" t="s">
        <v>71</v>
      </c>
      <c r="M2" s="149" t="s">
        <v>225</v>
      </c>
      <c r="N2" s="149" t="s">
        <v>108</v>
      </c>
      <c r="O2" s="194" t="s">
        <v>226</v>
      </c>
      <c r="P2" s="149" t="s">
        <v>227</v>
      </c>
      <c r="Q2" s="149" t="s">
        <v>228</v>
      </c>
      <c r="R2" s="368"/>
      <c r="S2" s="368"/>
      <c r="T2" s="368"/>
      <c r="U2" s="368"/>
      <c r="V2" s="368"/>
      <c r="W2" s="368"/>
      <c r="X2" s="20"/>
      <c r="Y2" s="368"/>
      <c r="Z2" s="368"/>
      <c r="AA2" s="368"/>
      <c r="AC2" s="368"/>
      <c r="AD2" s="368"/>
      <c r="AF2" s="31"/>
      <c r="MI2" s="6"/>
    </row>
    <row r="3" spans="1:347" s="26" customFormat="1" ht="36">
      <c r="A3" s="21">
        <v>1</v>
      </c>
      <c r="B3" s="22" t="str">
        <f>VLOOKUP($A3,'Indicadores Financeiros'!$A$123:$J$280,2,FALSE)</f>
        <v>SÃO PAULO</v>
      </c>
      <c r="C3" s="4">
        <v>680004</v>
      </c>
      <c r="D3" s="7" t="str">
        <f>VLOOKUP($C3,'Indicadores Financeiros'!$A$107:$J$113,2,FALSE)</f>
        <v>Posto de vigilante noturno: 12 horas - escala de 12 x 36 de segunda-feira a domingo</v>
      </c>
      <c r="E3" s="7" t="str">
        <f>VLOOKUP($C3,'Indicadores Financeiros'!$A$107:$J$119,3,FALSE)</f>
        <v>Posto/Dia</v>
      </c>
      <c r="F3" s="4">
        <f>VLOOKUP($A3,'Indicadores Financeiros'!$A$123:$J$280,10,FALSE)</f>
        <v>1</v>
      </c>
      <c r="G3" s="4">
        <f>(VLOOKUP($C3,'Indicadores Financeiros'!$A$107:$J$119,6,FALSE))</f>
        <v>2</v>
      </c>
      <c r="H3" s="244">
        <f>VLOOKUP($C3,'Indicadores Financeiros'!$A$107:$J$119,7,FALSE)</f>
        <v>15.22</v>
      </c>
      <c r="I3" s="240">
        <f>IF(OR(C3=680018,C3=680023,C3=680028,C3=680021),21,IF(OR(E3="Posto/Dia",E3="Posto/Dia Líder"),INT(VLOOKUP($C3,'Indicadores Financeiros'!$A$107:$J$119,7,FALSE)*G3)+IF(OR(E3="Posto/Dia",E3="Posto/Dia Líder"),1,0),0))</f>
        <v>31</v>
      </c>
      <c r="J3" s="156">
        <v>2</v>
      </c>
      <c r="K3" s="77">
        <f t="shared" ref="K3:K9" si="0">IF(OR(E3="Posto/Dia",E3="Posto/Dia Líder"),I3*J3,J3)</f>
        <v>62</v>
      </c>
      <c r="L3" s="78">
        <f>ROUND((IF(VLOOKUP($C3,'Indicadores Financeiros'!$A$107:$J$119,4,FALSE)="S",'Indicadores Financeiros'!$J$91+'Indicadores Financeiros'!$J$92+'Indicadores Financeiros'!$J$93+'Indicadores Financeiros'!$J$94+IF(E3="posto/dia",'Indicadores Financeiros'!$J$95,0)+IF(E3="posto/hora extra",'Indicadores Financeiros'!$J$85*('Indicadores Financeiros'!$J$91+'Indicadores Financeiros'!$J$92+'Indicadores Financeiros'!$J$93+'Indicadores Financeiros'!$J$94),0),'Indicadores Financeiros'!$J$91+'Indicadores Financeiros'!$J$92+IF(E3="posto/dia líder",'Indicadores Financeiros'!$J$96,0)+IF(E3="posto/hora extra",'Indicadores Financeiros'!$J$85*('Indicadores Financeiros'!$J$91+'Indicadores Financeiros'!$J$92),0))),2)</f>
        <v>3432.51</v>
      </c>
      <c r="M3" s="78">
        <f>ROUND(L3*'Indicadores Financeiros'!$J$62,2)</f>
        <v>2505.39</v>
      </c>
      <c r="N3" s="49">
        <f>IF(OR(E3="posto/dia",E3="posto/dia líder"),ROUND('Indicadores Financeiros'!$J$98+'Indicadores Financeiros'!$J$99+'Indicadores Financeiros'!$J$101+'Indicadores Financeiros'!$J$102+ROUND(('Indicadores Financeiros'!$J$103*'Relatório Custo'!$H3),2)+'Indicadores Financeiros'!$J$100,2)+IF(ROUND((VLOOKUP($A3,'Indicadores Financeiros'!$A$123:$J$280,9,FALSE)*H3)-('Indicadores Financeiros'!$J$91*6%),2)&lt;0,0,ROUND((VLOOKUP($A3,'Indicadores Financeiros'!$A$123:$J$280,9,FALSE)*H3)-('Indicadores Financeiros'!$J$91*6%),2)),IF(E3="posto/hora",IF('Indicadores Financeiros'!$J$91=0,0,ROUND((VLOOKUP($B3,'Indicadores Financeiros'!$B$123:$I$182,8,FALSE)+'Indicadores Financeiros'!$J$103+'Indicadores Financeiros'!$J$86)*$H3,2)),0))</f>
        <v>713.72</v>
      </c>
      <c r="O3" s="49">
        <f>IF($E3="posto/hora extra",0,IF(OR(E3="posto/dia",E3="posto/dia líder"),VLOOKUP($C3,'Indicadores Financeiros'!$A$107:$J$119,8,FALSE)+VLOOKUP($C3,'Indicadores Financeiros'!$A$107:$J$119,9,FALSE)+VLOOKUP($C3,'Indicadores Financeiros'!$A$107:$J$119,10,FALSE),IF('Indicadores Financeiros'!$J$91=0,0,(VLOOKUP($C3,'Indicadores Financeiros'!$A$107:$J$119,9,FALSE)+VLOOKUP('Relatório Custo'!$C3,'Indicadores Financeiros'!$A$107:$J$119,10,FALSE)+('Indicadores Financeiros'!$J$87*'Relatório Custo'!$H3)))))</f>
        <v>202.44</v>
      </c>
      <c r="P3" s="49">
        <f>ROUND((L3+M3+N3+O3)*VLOOKUP($C3,'Indicadores Financeiros'!$A$107:$M$119,5,FALSE),2)</f>
        <v>0</v>
      </c>
      <c r="Q3" s="81">
        <f>SUM(L3:P3)</f>
        <v>6854.0599999999995</v>
      </c>
      <c r="R3" s="81">
        <f>ROUND(Q3*G3,2)</f>
        <v>13708.12</v>
      </c>
      <c r="S3" s="82">
        <f t="shared" ref="S3:S7" si="1">ROUND(R3/IF(OR(E3="Posto/Hora",E3="Posto/hora extra"),220,H3*IF(G3=2,G3,1)),2)</f>
        <v>450.33</v>
      </c>
      <c r="T3" s="47">
        <f>VLOOKUP($A3,'Indicadores Financeiros'!$A$123:$J$280,8,FALSE)</f>
        <v>0.2114</v>
      </c>
      <c r="U3" s="83">
        <f>ROUND(S3*(1+T3),2)</f>
        <v>545.53</v>
      </c>
      <c r="V3" s="24">
        <f>ROUND(K3*U3,2)</f>
        <v>33822.86</v>
      </c>
      <c r="W3" s="91">
        <f>V3*('Indicadores Financeiros'!$F$13-F3+1)</f>
        <v>1014685.8</v>
      </c>
      <c r="X3" s="20"/>
      <c r="Y3" s="114">
        <f>IF(AND(C3=680027,E3="posto/dia líder"),ROUND(('Indicadores Financeiros'!$J$91+'Indicadores Financeiros'!$J$92+'Indicadores Financeiros'!$J$96)*'Relatório Custo'!G3*'Relatório Custo'!J3,2),ROUND(IF(E3="posto/dia",(IF(VLOOKUP($C3,'Indicadores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Financeiros'!$J$92)),0)*G3*J3,2))</f>
        <v>13730.04</v>
      </c>
      <c r="Z3" s="43">
        <f>IF(OR(E3="posto/dia",E3="posto/dia líder"),'Indicadores Financeiros'!$J$70,0)</f>
        <v>0.31990000000000002</v>
      </c>
      <c r="AA3" s="41">
        <f t="shared" ref="AA3:AA9" si="2">ROUND(Y3*$Z3,2)</f>
        <v>4392.24</v>
      </c>
      <c r="AB3" s="25"/>
      <c r="AC3" s="23">
        <f>IF(E3="posto/dia",ROUND((ROUND(((VLOOKUP($A3,'Indicadores Financeiros'!$A$123:$J$280,9,FALSE)*H3)-ROUND(('Indicadores Financeiros'!$J$91*6%),2))/H3,2)+'Indicadores Financeiros'!$J$103+ROUND(VLOOKUP($C3,'Indicadores Financeiros'!$A$107:$J$113,9,FALSE)/H3,2)+ROUND(((L3*'Indicadores Financeiros'!$J$60)/H3),2))*(1+T3),2),0)</f>
        <v>84.7</v>
      </c>
      <c r="AD3" s="23">
        <f>IF(OR(E3="Posto/Dia",E3="Posto/Dia Líder"),ROUND(U3/IF(OR(C3=680010,C3=680023),600,720),2),0)</f>
        <v>0.76</v>
      </c>
      <c r="AE3" s="234"/>
      <c r="AF3" s="155"/>
      <c r="AG3" s="155"/>
      <c r="AH3" s="31"/>
      <c r="AI3" s="31"/>
      <c r="AJ3" s="31"/>
      <c r="AK3" s="31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</row>
    <row r="4" spans="1:347" s="26" customFormat="1" ht="36">
      <c r="A4" s="21">
        <v>1</v>
      </c>
      <c r="B4" s="22" t="str">
        <f>VLOOKUP($A4,'Indicadores Financeiros'!$A$123:$J$280,2,FALSE)</f>
        <v>SÃO PAULO</v>
      </c>
      <c r="C4" s="4">
        <v>680011</v>
      </c>
      <c r="D4" s="7" t="str">
        <f>VLOOKUP($C4,'Indicadores Financeiros'!$A$107:$J$113,2,FALSE)</f>
        <v>Posto de vigilante diurno - com almocista (repositor) - 12 horas - escala de 12 x 36 de segunda-feira a domingo</v>
      </c>
      <c r="E4" s="7" t="str">
        <f>VLOOKUP($C4,'Indicadores Financeiros'!$A$107:$J$119,3,FALSE)</f>
        <v>Posto/Dia</v>
      </c>
      <c r="F4" s="4">
        <f>VLOOKUP($A4,'Indicadores Financeiros'!$A$123:$J$280,10,FALSE)</f>
        <v>1</v>
      </c>
      <c r="G4" s="4">
        <f>(VLOOKUP($C4,'Indicadores Financeiros'!$A$107:$J$119,6,FALSE))</f>
        <v>2</v>
      </c>
      <c r="H4" s="244">
        <f>VLOOKUP($C4,'Indicadores Financeiros'!$A$107:$J$119,7,FALSE)</f>
        <v>15.22</v>
      </c>
      <c r="I4" s="240">
        <f>IF(OR(C4=680018,C4=680023,C4=680028,C4=680021),21,IF(OR(E4="Posto/Dia",E4="Posto/Dia Líder"),INT(VLOOKUP($C4,'Indicadores Financeiros'!$A$107:$J$119,7,FALSE)*G4)+IF(OR(E4="Posto/Dia",E4="Posto/Dia Líder"),1,0),0))</f>
        <v>31</v>
      </c>
      <c r="J4" s="156">
        <v>1</v>
      </c>
      <c r="K4" s="77">
        <f t="shared" si="0"/>
        <v>31</v>
      </c>
      <c r="L4" s="78">
        <f>ROUND((IF(VLOOKUP($C4,'Indicadores Financeiros'!$A$107:$J$119,4,FALSE)="S",'Indicadores Financeiros'!$J$91+'Indicadores Financeiros'!$J$92+'Indicadores Financeiros'!$J$93+'Indicadores Financeiros'!$J$94+IF(E4="posto/dia",'Indicadores Financeiros'!$J$95,0)+IF(E4="posto/hora extra",'Indicadores Financeiros'!$J$85*('Indicadores Financeiros'!$J$91+'Indicadores Financeiros'!$J$92+'Indicadores Financeiros'!$J$93+'Indicadores Financeiros'!$J$94),0),'Indicadores Financeiros'!$J$91+'Indicadores Financeiros'!$J$92+IF(E4="posto/dia líder",'Indicadores Financeiros'!$J$96,0)+IF(E4="posto/hora extra",'Indicadores Financeiros'!$J$85*('Indicadores Financeiros'!$J$91+'Indicadores Financeiros'!$J$92),0))),2)</f>
        <v>2659.7</v>
      </c>
      <c r="M4" s="78">
        <f>ROUND(L4*'Indicadores Financeiros'!$J$62,2)</f>
        <v>1941.32</v>
      </c>
      <c r="N4" s="49">
        <f>IF(OR(E4="posto/dia",E4="posto/dia líder"),ROUND('Indicadores Financeiros'!$J$98+'Indicadores Financeiros'!$J$99+'Indicadores Financeiros'!$J$101+'Indicadores Financeiros'!$J$102+ROUND(('Indicadores Financeiros'!$J$103*'Relatório Custo'!$H4),2)+'Indicadores Financeiros'!$J$100,2)+IF(ROUND((VLOOKUP($A4,'Indicadores Financeiros'!$A$123:$J$280,9,FALSE)*H4)-('Indicadores Financeiros'!$J$91*6%),2)&lt;0,0,ROUND((VLOOKUP($A4,'Indicadores Financeiros'!$A$123:$J$280,9,FALSE)*H4)-('Indicadores Financeiros'!$J$91*6%),2)),IF(E4="posto/hora",IF('Indicadores Financeiros'!$J$91=0,0,ROUND((VLOOKUP($B4,'Indicadores Financeiros'!$B$123:$I$182,8,FALSE)+'Indicadores Financeiros'!$J$103+'Indicadores Financeiros'!$J$86)*$H4,2)),0))</f>
        <v>713.72</v>
      </c>
      <c r="O4" s="49">
        <f>IF($E4="posto/hora extra",0,IF(OR(E4="posto/dia",E4="posto/dia líder"),VLOOKUP($C4,'Indicadores Financeiros'!$A$107:$J$119,8,FALSE)+VLOOKUP($C4,'Indicadores Financeiros'!$A$107:$J$119,9,FALSE)+VLOOKUP($C4,'Indicadores Financeiros'!$A$107:$J$119,10,FALSE),IF('Indicadores Financeiros'!$J$91=0,0,(VLOOKUP($C4,'Indicadores Financeiros'!$A$107:$J$119,9,FALSE)+VLOOKUP('Relatório Custo'!$C4,'Indicadores Financeiros'!$A$107:$J$119,10,FALSE)+('Indicadores Financeiros'!$J$87*'Relatório Custo'!$H4)))))</f>
        <v>201.97</v>
      </c>
      <c r="P4" s="49">
        <f>ROUND((L4+M4+N4+O4)*VLOOKUP($C4,'Indicadores Financeiros'!$A$107:$M$119,5,FALSE),2)</f>
        <v>459.72</v>
      </c>
      <c r="Q4" s="81">
        <f t="shared" ref="Q4:Q9" si="3">SUM(L4:P4)</f>
        <v>5976.43</v>
      </c>
      <c r="R4" s="81">
        <f t="shared" ref="R4:R15" si="4">ROUND(Q4*G4,2)</f>
        <v>11952.86</v>
      </c>
      <c r="S4" s="82">
        <f t="shared" si="1"/>
        <v>392.67</v>
      </c>
      <c r="T4" s="47">
        <f>VLOOKUP($A4,'Indicadores Financeiros'!$A$123:$J$280,8,FALSE)</f>
        <v>0.2114</v>
      </c>
      <c r="U4" s="83">
        <f t="shared" ref="U4:U9" si="5">ROUND(S4*(1+T4),2)</f>
        <v>475.68</v>
      </c>
      <c r="V4" s="24">
        <f t="shared" ref="V4:V28" si="6">ROUND(K4*U4,2)</f>
        <v>14746.08</v>
      </c>
      <c r="W4" s="91">
        <f>V4*('Indicadores Financeiros'!$F$13-F4+1)</f>
        <v>442382.4</v>
      </c>
      <c r="X4" s="20"/>
      <c r="Y4" s="114">
        <f>IF(AND(C4=680027,E4="posto/dia líder"),ROUND(('Indicadores Financeiros'!$J$91+'Indicadores Financeiros'!$J$92+'Indicadores Financeiros'!$J$96)*'Relatório Custo'!G4*'Relatório Custo'!J4,2),ROUND(IF(E4="posto/dia",(IF(VLOOKUP($C4,'Indicadores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Financeiros'!$J$92)),0)*G4*J4,2))</f>
        <v>5319.4</v>
      </c>
      <c r="Z4" s="43">
        <f>IF(OR(E4="posto/dia",E4="posto/dia líder"),'Indicadores Financeiros'!$J$70,0)</f>
        <v>0.31990000000000002</v>
      </c>
      <c r="AA4" s="41">
        <f t="shared" si="2"/>
        <v>1701.68</v>
      </c>
      <c r="AB4" s="25"/>
      <c r="AC4" s="23">
        <f>IF(E4="posto/dia",ROUND((ROUND(((VLOOKUP($A4,'Indicadores Financeiros'!$A$123:$J$280,9,FALSE)*H4)-ROUND(('Indicadores Financeiros'!$J$91*6%),2))/H4,2)+ROUND('Indicadores Financeiros'!$J$103,2)+ROUND(VLOOKUP($C4,'Indicadores Financeiros'!$A$107:$J$113,9,FALSE)/H4,2)+ROUND((L4*'Indicadores Financeiros'!$J$60/H4),2))*(1+T4),2),0)</f>
        <v>75.02</v>
      </c>
      <c r="AD4" s="23">
        <f t="shared" ref="AD4:AD28" si="7">IF(OR(E4="Posto/Dia",E4="Posto/Dia Líder"),ROUND(U4/IF(OR(C4=680010,C4=680023),600,720),2),0)</f>
        <v>0.66</v>
      </c>
      <c r="AE4" s="154"/>
      <c r="AF4" s="155"/>
      <c r="AG4" s="155"/>
      <c r="AH4" s="31"/>
      <c r="AI4" s="31"/>
      <c r="AJ4" s="31"/>
      <c r="AK4" s="31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</row>
    <row r="5" spans="1:347" s="26" customFormat="1" ht="36">
      <c r="A5" s="21">
        <v>1</v>
      </c>
      <c r="B5" s="22" t="str">
        <f>VLOOKUP($A5,'Indicadores Financeiros'!$A$123:$J$280,2,FALSE)</f>
        <v>SÃO PAULO</v>
      </c>
      <c r="C5" s="4">
        <v>680018</v>
      </c>
      <c r="D5" s="7" t="str">
        <f>VLOOKUP($C5,'Indicadores Financeiros'!$A$107:$J$113,2,FALSE)</f>
        <v>Posto de vigilante diurno - com almocista (repositor) - 44 horas semanais de segunda a sexta-feira - arma não letal</v>
      </c>
      <c r="E5" s="7" t="str">
        <f>VLOOKUP($C5,'Indicadores Financeiros'!$A$107:$J$119,3,FALSE)</f>
        <v>Posto/Dia</v>
      </c>
      <c r="F5" s="4">
        <f>VLOOKUP($A5,'Indicadores Financeiros'!$A$123:$J$280,10,FALSE)</f>
        <v>1</v>
      </c>
      <c r="G5" s="4">
        <f>(VLOOKUP($C5,'Indicadores Financeiros'!$A$107:$J$119,6,FALSE))</f>
        <v>1</v>
      </c>
      <c r="H5" s="244">
        <f>VLOOKUP($C5,'Indicadores Financeiros'!$A$107:$J$119,7,FALSE)</f>
        <v>21</v>
      </c>
      <c r="I5" s="240">
        <f>IF(OR(C5=680018,C5=680023,C5=680028,C5=680021),21,IF(OR(E5="Posto/Dia",E5="Posto/Dia Líder"),INT(VLOOKUP($C5,'Indicadores Financeiros'!$A$107:$J$119,7,FALSE)*G5)+IF(OR(E5="Posto/Dia",E5="Posto/Dia Líder"),1,0),0))</f>
        <v>21</v>
      </c>
      <c r="J5" s="156">
        <v>1</v>
      </c>
      <c r="K5" s="77">
        <f t="shared" si="0"/>
        <v>21</v>
      </c>
      <c r="L5" s="78">
        <f>ROUND((IF(VLOOKUP($C5,'Indicadores Financeiros'!$A$107:$J$119,4,FALSE)="S",'Indicadores Financeiros'!$J$91+'Indicadores Financeiros'!$J$92+'Indicadores Financeiros'!$J$93+'Indicadores Financeiros'!$J$94+IF(E5="posto/dia",'Indicadores Financeiros'!$J$95,0)+IF(E5="posto/hora extra",'Indicadores Financeiros'!$J$85*('Indicadores Financeiros'!$J$91+'Indicadores Financeiros'!$J$92+'Indicadores Financeiros'!$J$93+'Indicadores Financeiros'!$J$94),0),'Indicadores Financeiros'!$J$91+'Indicadores Financeiros'!$J$92+IF(E5="posto/dia líder",'Indicadores Financeiros'!$J$96,0)+IF(E5="posto/hora extra",'Indicadores Financeiros'!$J$85*('Indicadores Financeiros'!$J$91+'Indicadores Financeiros'!$J$92),0))),2)</f>
        <v>2659.7</v>
      </c>
      <c r="M5" s="78">
        <f>ROUND(L5*'Indicadores Financeiros'!$J$62,2)</f>
        <v>1941.32</v>
      </c>
      <c r="N5" s="49">
        <f>IF(OR(E5="posto/dia",E5="posto/dia líder"),ROUND('Indicadores Financeiros'!$J$98+'Indicadores Financeiros'!$J$99+'Indicadores Financeiros'!$J$101+'Indicadores Financeiros'!$J$102+ROUND(('Indicadores Financeiros'!$J$103*'Relatório Custo'!$H5),2)+'Indicadores Financeiros'!$J$100,2)+IF(ROUND((VLOOKUP($A5,'Indicadores Financeiros'!$A$123:$J$280,9,FALSE)*H5)-('Indicadores Financeiros'!$J$91*6%),2)&lt;0,0,ROUND((VLOOKUP($A5,'Indicadores Financeiros'!$A$123:$J$280,9,FALSE)*H5)-('Indicadores Financeiros'!$J$91*6%),2)),IF(E5="posto/hora",IF('Indicadores Financeiros'!$J$91=0,0,ROUND((VLOOKUP($B5,'Indicadores Financeiros'!$B$123:$I$182,8,FALSE)+'Indicadores Financeiros'!$J$103+'Indicadores Financeiros'!$J$86)*$H5,2)),0))</f>
        <v>944.92000000000007</v>
      </c>
      <c r="O5" s="49">
        <f>IF($E5="posto/hora extra",0,IF(OR(E5="posto/dia",E5="posto/dia líder"),VLOOKUP($C5,'Indicadores Financeiros'!$A$107:$J$119,8,FALSE)+VLOOKUP($C5,'Indicadores Financeiros'!$A$107:$J$119,9,FALSE)+VLOOKUP($C5,'Indicadores Financeiros'!$A$107:$J$119,10,FALSE),IF('Indicadores Financeiros'!$J$91=0,0,(VLOOKUP($C5,'Indicadores Financeiros'!$A$107:$J$119,9,FALSE)+VLOOKUP('Relatório Custo'!$C5,'Indicadores Financeiros'!$A$107:$J$119,10,FALSE)+('Indicadores Financeiros'!$J$87*'Relatório Custo'!$H5)))))</f>
        <v>183.71</v>
      </c>
      <c r="P5" s="49">
        <f>ROUND((L5+M5+N5+O5)*VLOOKUP($C5,'Indicadores Financeiros'!$A$107:$M$119,5,FALSE),2)</f>
        <v>783.18</v>
      </c>
      <c r="Q5" s="81">
        <f t="shared" ref="Q5" si="8">SUM(L5:P5)</f>
        <v>6512.83</v>
      </c>
      <c r="R5" s="81">
        <f t="shared" si="4"/>
        <v>6512.83</v>
      </c>
      <c r="S5" s="82">
        <f t="shared" si="1"/>
        <v>310.13</v>
      </c>
      <c r="T5" s="47">
        <f>VLOOKUP($A5,'Indicadores Financeiros'!$A$123:$J$280,8,FALSE)</f>
        <v>0.2114</v>
      </c>
      <c r="U5" s="83">
        <f t="shared" ref="U5" si="9">ROUND(S5*(1+T5),2)</f>
        <v>375.69</v>
      </c>
      <c r="V5" s="24">
        <f t="shared" si="6"/>
        <v>7889.49</v>
      </c>
      <c r="W5" s="91">
        <f>V5*('Indicadores Financeiros'!$F$13-F5+1)</f>
        <v>236684.69999999998</v>
      </c>
      <c r="X5" s="20"/>
      <c r="Y5" s="114">
        <f>IF(AND(C5=680027,E5="posto/dia líder"),ROUND(('Indicadores Financeiros'!$J$91+'Indicadores Financeiros'!$J$92+'Indicadores Financeiros'!$J$96)*'Relatório Custo'!G5*'Relatório Custo'!J5,2),ROUND(IF(E5="posto/dia",(IF(VLOOKUP($C5,'Indicadores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Financeiros'!$J$92)),0)*G5*J5,2))</f>
        <v>2659.7</v>
      </c>
      <c r="Z5" s="43">
        <f>IF(OR(E5="posto/dia",E5="posto/dia líder"),'Indicadores Financeiros'!$J$70,0)</f>
        <v>0.31990000000000002</v>
      </c>
      <c r="AA5" s="41">
        <f t="shared" ref="AA5" si="10">ROUND(Y5*$Z5,2)</f>
        <v>850.84</v>
      </c>
      <c r="AB5" s="25"/>
      <c r="AC5" s="23">
        <f>IF(E5="posto/dia",ROUND((ROUND(((VLOOKUP($A5,'Indicadores Financeiros'!$A$123:$J$280,9,FALSE)*H5)-ROUND(('Indicadores Financeiros'!$J$91*6%),2))/H5,2)+ROUND('Indicadores Financeiros'!$J$103,2)+ROUND(VLOOKUP($C5,'Indicadores Financeiros'!$A$107:$J$113,9,FALSE)/H5,2)+ROUND((L5*'Indicadores Financeiros'!$J$60/H5),2))*(1+T5),2),0)</f>
        <v>67.47</v>
      </c>
      <c r="AD5" s="23">
        <f t="shared" si="7"/>
        <v>0.52</v>
      </c>
      <c r="AE5" s="154"/>
      <c r="AF5" s="155"/>
      <c r="AG5" s="155"/>
      <c r="AH5" s="31"/>
      <c r="AI5" s="31"/>
      <c r="AJ5" s="31"/>
      <c r="AK5" s="31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</row>
    <row r="6" spans="1:347" s="26" customFormat="1" ht="36">
      <c r="A6" s="21">
        <v>1</v>
      </c>
      <c r="B6" s="22" t="str">
        <f>VLOOKUP($A6,'Indicadores Financeiros'!$A$123:$J$280,2,FALSE)</f>
        <v>SÃO PAULO</v>
      </c>
      <c r="C6" s="4">
        <v>680021</v>
      </c>
      <c r="D6" s="7" t="str">
        <f>VLOOKUP($C6,'Indicadores Financeiros'!$A$107:$J$113,2,FALSE)</f>
        <v xml:space="preserve">Posto de vigilante diurno - com almocista (repositor) - 12 horas diárias - segunda a sexta-feira </v>
      </c>
      <c r="E6" s="7" t="str">
        <f>VLOOKUP($C6,'Indicadores Financeiros'!$A$107:$J$119,3,FALSE)</f>
        <v>Posto/Dia</v>
      </c>
      <c r="F6" s="4">
        <f>VLOOKUP($A6,'Indicadores Financeiros'!$A$123:$J$280,10,FALSE)</f>
        <v>1</v>
      </c>
      <c r="G6" s="4">
        <f>(VLOOKUP($C6,'Indicadores Financeiros'!$A$107:$J$119,6,FALSE))</f>
        <v>1.37</v>
      </c>
      <c r="H6" s="244">
        <f>VLOOKUP($C6,'Indicadores Financeiros'!$A$107:$J$119,7,FALSE)</f>
        <v>21</v>
      </c>
      <c r="I6" s="240">
        <f>IF(OR(C6=680018,C6=680023,C6=680028,C6=680021),21,IF(OR(E6="Posto/Dia",E6="Posto/Dia Líder"),INT(VLOOKUP($C6,'Indicadores Financeiros'!$A$107:$J$119,7,FALSE)*G6)+IF(OR(E6="Posto/Dia",E6="Posto/Dia Líder"),1,0),0))</f>
        <v>21</v>
      </c>
      <c r="J6" s="156">
        <v>1</v>
      </c>
      <c r="K6" s="77">
        <f t="shared" si="0"/>
        <v>21</v>
      </c>
      <c r="L6" s="78">
        <f>ROUND((IF(VLOOKUP($C6,'Indicadores Financeiros'!$A$107:$J$119,4,FALSE)="S",'Indicadores Financeiros'!$J$91+'Indicadores Financeiros'!$J$92+'Indicadores Financeiros'!$J$93+'Indicadores Financeiros'!$J$94+IF(E6="posto/dia",'Indicadores Financeiros'!$J$95,0)+IF(E6="posto/hora extra",'Indicadores Financeiros'!$J$85*('Indicadores Financeiros'!$J$91+'Indicadores Financeiros'!$J$92+'Indicadores Financeiros'!$J$93+'Indicadores Financeiros'!$J$94),0),'Indicadores Financeiros'!$J$91+'Indicadores Financeiros'!$J$92+IF(E6="posto/dia líder",'Indicadores Financeiros'!$J$96,0)+IF(E6="posto/hora extra",'Indicadores Financeiros'!$J$85*('Indicadores Financeiros'!$J$91+'Indicadores Financeiros'!$J$92),0))),2)</f>
        <v>2659.7</v>
      </c>
      <c r="M6" s="78">
        <f>ROUND(L6*'Indicadores Financeiros'!$J$62,2)</f>
        <v>1941.32</v>
      </c>
      <c r="N6" s="49">
        <f>IF(OR(E6="posto/dia",E6="posto/dia líder"),ROUND('Indicadores Financeiros'!$J$98+'Indicadores Financeiros'!$J$99+'Indicadores Financeiros'!$J$101+'Indicadores Financeiros'!$J$102+ROUND(('Indicadores Financeiros'!$J$103*'Relatório Custo'!$H6),2)+'Indicadores Financeiros'!$J$100,2)+IF(ROUND((VLOOKUP($A6,'Indicadores Financeiros'!$A$123:$J$280,9,FALSE)*H6)-('Indicadores Financeiros'!$J$91*6%),2)&lt;0,0,ROUND((VLOOKUP($A6,'Indicadores Financeiros'!$A$123:$J$280,9,FALSE)*H6)-('Indicadores Financeiros'!$J$91*6%),2)),IF(E6="posto/hora",IF('Indicadores Financeiros'!$J$91=0,0,ROUND((VLOOKUP($B6,'Indicadores Financeiros'!$B$123:$I$182,8,FALSE)+'Indicadores Financeiros'!$J$103+'Indicadores Financeiros'!$J$86)*$H6,2)),0))</f>
        <v>944.92000000000007</v>
      </c>
      <c r="O6" s="49">
        <f>IF($E6="posto/hora extra",0,IF(OR(E6="posto/dia",E6="posto/dia líder"),VLOOKUP($C6,'Indicadores Financeiros'!$A$107:$J$119,8,FALSE)+VLOOKUP($C6,'Indicadores Financeiros'!$A$107:$J$119,9,FALSE)+VLOOKUP($C6,'Indicadores Financeiros'!$A$107:$J$119,10,FALSE),IF('Indicadores Financeiros'!$J$91=0,0,(VLOOKUP($C6,'Indicadores Financeiros'!$A$107:$J$119,9,FALSE)+VLOOKUP('Relatório Custo'!$C6,'Indicadores Financeiros'!$A$107:$J$119,10,FALSE)+('Indicadores Financeiros'!$J$87*'Relatório Custo'!$H6)))))</f>
        <v>205.3551824817518</v>
      </c>
      <c r="P6" s="49">
        <f>ROUND((L6+M6+N6+O6)*VLOOKUP($C6,'Indicadores Financeiros'!$A$107:$M$119,5,FALSE),2)</f>
        <v>655.12</v>
      </c>
      <c r="Q6" s="81">
        <f t="shared" si="3"/>
        <v>6406.4151824817509</v>
      </c>
      <c r="R6" s="81">
        <f t="shared" si="4"/>
        <v>8776.7900000000009</v>
      </c>
      <c r="S6" s="82">
        <f t="shared" si="1"/>
        <v>417.94</v>
      </c>
      <c r="T6" s="47">
        <f>VLOOKUP($A6,'Indicadores Financeiros'!$A$123:$J$280,8,FALSE)</f>
        <v>0.2114</v>
      </c>
      <c r="U6" s="83">
        <f t="shared" si="5"/>
        <v>506.29</v>
      </c>
      <c r="V6" s="24">
        <f t="shared" si="6"/>
        <v>10632.09</v>
      </c>
      <c r="W6" s="91">
        <f>V6*('Indicadores Financeiros'!$F$13-F6+1)</f>
        <v>318962.7</v>
      </c>
      <c r="X6" s="20"/>
      <c r="Y6" s="114">
        <f>IF(AND(C6=680027,E6="posto/dia líder"),ROUND(('Indicadores Financeiros'!$J$91+'Indicadores Financeiros'!$J$92+'Indicadores Financeiros'!$J$96)*'Relatório Custo'!G6*'Relatório Custo'!J6,2),ROUND(IF(E6="posto/dia",(IF(VLOOKUP($C6,'Indicadores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Financeiros'!$J$92)),0)*G6*J6,2))</f>
        <v>3643.79</v>
      </c>
      <c r="Z6" s="43">
        <f>IF(OR(E6="posto/dia",E6="posto/dia líder"),'Indicadores Financeiros'!$J$70,0)</f>
        <v>0.31990000000000002</v>
      </c>
      <c r="AA6" s="41">
        <f>ROUND(Y6*$Z6,2)</f>
        <v>1165.6500000000001</v>
      </c>
      <c r="AB6" s="25"/>
      <c r="AC6" s="23">
        <f>IF(E6="posto/dia",ROUND((ROUND(((VLOOKUP($A6,'Indicadores Financeiros'!$A$123:$J$280,9,FALSE)*H6)-ROUND(('Indicadores Financeiros'!$J$91*6%),2))/H6,2)+ROUND('Indicadores Financeiros'!$J$103,2)+ROUND(VLOOKUP($C6,'Indicadores Financeiros'!$A$107:$J$113,9,FALSE)/H6,2)+ROUND((L6*'Indicadores Financeiros'!$J$60/H6),2))*(1+T6),2),0)</f>
        <v>68.73</v>
      </c>
      <c r="AD6" s="23">
        <f t="shared" si="7"/>
        <v>0.7</v>
      </c>
      <c r="AE6" s="154"/>
      <c r="AF6" s="155"/>
      <c r="AG6" s="155"/>
      <c r="AH6" s="31"/>
      <c r="AI6" s="31"/>
      <c r="AJ6" s="31"/>
      <c r="AK6" s="31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</row>
    <row r="7" spans="1:347" s="26" customFormat="1" ht="36">
      <c r="A7" s="21">
        <v>1</v>
      </c>
      <c r="B7" s="22" t="str">
        <f>VLOOKUP($A7,'Indicadores Financeiros'!$A$123:$J$280,2,FALSE)</f>
        <v>SÃO PAULO</v>
      </c>
      <c r="C7" s="4">
        <v>680023</v>
      </c>
      <c r="D7" s="7" t="str">
        <f>VLOOKUP($C7,'Indicadores Financeiros'!$A$107:$J$113,2,FALSE)</f>
        <v>Posto de vigilante diurno: com almocista (repositor) - 44 horas semanais de segunda a sexta-feira - desarmado</v>
      </c>
      <c r="E7" s="7" t="str">
        <f>VLOOKUP($C7,'Indicadores Financeiros'!$A$107:$J$119,3,FALSE)</f>
        <v>Posto/Dia</v>
      </c>
      <c r="F7" s="4">
        <f>VLOOKUP($A7,'Indicadores Financeiros'!$A$123:$J$280,10,FALSE)</f>
        <v>1</v>
      </c>
      <c r="G7" s="4">
        <f>(VLOOKUP($C7,'Indicadores Financeiros'!$A$107:$J$119,6,FALSE))</f>
        <v>1</v>
      </c>
      <c r="H7" s="244">
        <f>VLOOKUP($C7,'Indicadores Financeiros'!$A$107:$J$119,7,FALSE)</f>
        <v>21</v>
      </c>
      <c r="I7" s="240">
        <f>IF(OR(C7=680018,C7=680023,C7=680028,C7=680021),21,IF(OR(E7="Posto/Dia",E7="Posto/Dia Líder"),INT(VLOOKUP($C7,'Indicadores Financeiros'!$A$107:$J$119,7,FALSE)*G7)+IF(OR(E7="Posto/Dia",E7="Posto/Dia Líder"),1,0),0))</f>
        <v>21</v>
      </c>
      <c r="J7" s="156">
        <v>1</v>
      </c>
      <c r="K7" s="77">
        <f t="shared" si="0"/>
        <v>21</v>
      </c>
      <c r="L7" s="78">
        <f>ROUND((IF(VLOOKUP($C7,'Indicadores Financeiros'!$A$107:$J$119,4,FALSE)="S",'Indicadores Financeiros'!$J$91+'Indicadores Financeiros'!$J$92+'Indicadores Financeiros'!$J$93+'Indicadores Financeiros'!$J$94+IF(E7="posto/dia",'Indicadores Financeiros'!$J$95,0)+IF(E7="posto/hora extra",'Indicadores Financeiros'!$J$85*('Indicadores Financeiros'!$J$91+'Indicadores Financeiros'!$J$92+'Indicadores Financeiros'!$J$93+'Indicadores Financeiros'!$J$94),0),'Indicadores Financeiros'!$J$91+'Indicadores Financeiros'!$J$92+IF(E7="posto/dia líder",'Indicadores Financeiros'!$J$96,0)+IF(E7="posto/hora extra",'Indicadores Financeiros'!$J$85*('Indicadores Financeiros'!$J$91+'Indicadores Financeiros'!$J$92),0))),2)</f>
        <v>2659.7</v>
      </c>
      <c r="M7" s="78">
        <f>ROUND(L7*'Indicadores Financeiros'!$J$62,2)</f>
        <v>1941.32</v>
      </c>
      <c r="N7" s="49">
        <f>IF(OR(E7="posto/dia",E7="posto/dia líder"),ROUND('Indicadores Financeiros'!$J$98+'Indicadores Financeiros'!$J$99+'Indicadores Financeiros'!$J$101+'Indicadores Financeiros'!$J$102+ROUND(('Indicadores Financeiros'!$J$103*'Relatório Custo'!$H7),2)+'Indicadores Financeiros'!$J$100,2)+IF(ROUND((VLOOKUP($A7,'Indicadores Financeiros'!$A$123:$J$280,9,FALSE)*H7)-('Indicadores Financeiros'!$J$91*6%),2)&lt;0,0,ROUND((VLOOKUP($A7,'Indicadores Financeiros'!$A$123:$J$280,9,FALSE)*H7)-('Indicadores Financeiros'!$J$91*6%),2)),IF(E7="posto/hora",IF('Indicadores Financeiros'!$J$91=0,0,ROUND((VLOOKUP($B7,'Indicadores Financeiros'!$B$123:$I$182,8,FALSE)+'Indicadores Financeiros'!$J$103+'Indicadores Financeiros'!$J$86)*$H7,2)),0))</f>
        <v>944.92000000000007</v>
      </c>
      <c r="O7" s="49">
        <f>IF($E7="posto/hora extra",0,IF(OR(E7="posto/dia",E7="posto/dia líder"),VLOOKUP($C7,'Indicadores Financeiros'!$A$107:$J$119,8,FALSE)+VLOOKUP($C7,'Indicadores Financeiros'!$A$107:$J$119,9,FALSE)+VLOOKUP($C7,'Indicadores Financeiros'!$A$107:$J$119,10,FALSE),IF('Indicadores Financeiros'!$J$91=0,0,(VLOOKUP($C7,'Indicadores Financeiros'!$A$107:$J$119,9,FALSE)+VLOOKUP('Relatório Custo'!$C7,'Indicadores Financeiros'!$A$107:$J$119,10,FALSE)+('Indicadores Financeiros'!$J$87*'Relatório Custo'!$H7)))))</f>
        <v>176.1</v>
      </c>
      <c r="P7" s="49">
        <f>ROUND((L7+M7+N7+O7)*VLOOKUP($C7,'Indicadores Financeiros'!$A$107:$M$119,5,FALSE),2)</f>
        <v>782.14</v>
      </c>
      <c r="Q7" s="81">
        <f t="shared" si="3"/>
        <v>6504.18</v>
      </c>
      <c r="R7" s="81">
        <f t="shared" si="4"/>
        <v>6504.18</v>
      </c>
      <c r="S7" s="82">
        <f t="shared" si="1"/>
        <v>309.72000000000003</v>
      </c>
      <c r="T7" s="47">
        <f>VLOOKUP($A7,'Indicadores Financeiros'!$A$123:$J$280,8,FALSE)</f>
        <v>0.2114</v>
      </c>
      <c r="U7" s="83">
        <f t="shared" si="5"/>
        <v>375.19</v>
      </c>
      <c r="V7" s="24">
        <f t="shared" si="6"/>
        <v>7878.99</v>
      </c>
      <c r="W7" s="91">
        <f>V7*('Indicadores Financeiros'!$F$13-F7+1)</f>
        <v>236369.69999999998</v>
      </c>
      <c r="X7" s="20"/>
      <c r="Y7" s="114">
        <f>IF(AND(C7=680027,E7="posto/dia líder"),ROUND(('Indicadores Financeiros'!$J$91+'Indicadores Financeiros'!$J$92+'Indicadores Financeiros'!$J$96)*'Relatório Custo'!G7*'Relatório Custo'!J7,2),ROUND(IF(E7="posto/dia",(IF(VLOOKUP($C7,'Indicadores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Financeiros'!$J$92)),0)*G7*J7,2))</f>
        <v>2659.7</v>
      </c>
      <c r="Z7" s="43">
        <f>IF(OR(E7="posto/dia",E7="posto/dia líder"),'Indicadores Financeiros'!$J$70,0)</f>
        <v>0.31990000000000002</v>
      </c>
      <c r="AA7" s="41">
        <f>ROUND(Y7*$Z7,2)</f>
        <v>850.84</v>
      </c>
      <c r="AB7" s="25"/>
      <c r="AC7" s="23">
        <f>IF(E7="posto/dia",ROUND((ROUND(((VLOOKUP($A7,'Indicadores Financeiros'!$A$123:$J$280,9,FALSE)*H7)-ROUND(('Indicadores Financeiros'!$J$91*6%),2))/H7,2)+ROUND('Indicadores Financeiros'!$J$103,2)+ROUND(VLOOKUP($C7,'Indicadores Financeiros'!$A$107:$J$113,9,FALSE)/H7,2)+ROUND((L7*'Indicadores Financeiros'!$J$60/H7),2))*(1+T7),2),0)</f>
        <v>67.08</v>
      </c>
      <c r="AD7" s="23">
        <f t="shared" si="7"/>
        <v>0.63</v>
      </c>
      <c r="AE7" s="154"/>
      <c r="AF7" s="155"/>
      <c r="AG7" s="155"/>
      <c r="AH7" s="31"/>
      <c r="AI7" s="31"/>
      <c r="AJ7" s="31"/>
      <c r="AK7" s="31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</row>
    <row r="8" spans="1:347" s="26" customFormat="1" ht="24">
      <c r="A8" s="21">
        <v>1</v>
      </c>
      <c r="B8" s="22" t="str">
        <f>VLOOKUP($A8,'Indicadores Financeiros'!$A$123:$J$280,2,FALSE)</f>
        <v>SÃO PAULO</v>
      </c>
      <c r="C8" s="4">
        <v>680024</v>
      </c>
      <c r="D8" s="7" t="s">
        <v>139</v>
      </c>
      <c r="E8" s="7" t="str">
        <f>VLOOKUP($C8,'Indicadores Financeiros'!$A$107:$J$119,3,FALSE)</f>
        <v>Posto/Hora</v>
      </c>
      <c r="F8" s="4">
        <f>VLOOKUP($A8,'Indicadores Financeiros'!$A$123:$J$280,10,FALSE)</f>
        <v>1</v>
      </c>
      <c r="G8" s="4">
        <f>(VLOOKUP($C8,'Indicadores Financeiros'!$A$107:$J$119,6,FALSE))</f>
        <v>1</v>
      </c>
      <c r="H8" s="244">
        <f>VLOOKUP($C8,'Indicadores Financeiros'!$A$107:$J$119,7,FALSE)</f>
        <v>21</v>
      </c>
      <c r="I8" s="240">
        <f>IF(OR(C8=680018,C8=680023,C8=680028,C8=680021),21,IF(OR(E8="Posto/Dia",E8="Posto/Dia Líder"),INT(VLOOKUP($C8,'Indicadores Financeiros'!$A$107:$J$119,7,FALSE)*G8)+IF(OR(E8="Posto/Dia",E8="Posto/Dia Líder"),1,0),0))</f>
        <v>0</v>
      </c>
      <c r="J8" s="156">
        <v>200</v>
      </c>
      <c r="K8" s="77">
        <f t="shared" si="0"/>
        <v>200</v>
      </c>
      <c r="L8" s="78">
        <f>ROUND((IF(VLOOKUP($C8,'Indicadores Financeiros'!$A$107:$J$119,4,FALSE)="S",'Indicadores Financeiros'!$J$91+'Indicadores Financeiros'!$J$92+'Indicadores Financeiros'!$J$93+'Indicadores Financeiros'!$J$94+IF(E8="posto/dia",'Indicadores Financeiros'!$J$95,0)+IF(E8="posto/hora extra",'Indicadores Financeiros'!$J$85*('Indicadores Financeiros'!$J$91+'Indicadores Financeiros'!$J$92+'Indicadores Financeiros'!$J$93+'Indicadores Financeiros'!$J$94),0),'Indicadores Financeiros'!$J$91+'Indicadores Financeiros'!$J$92+IF(E8="posto/dia líder",'Indicadores Financeiros'!$J$96,0)+IF(E8="posto/hora extra",'Indicadores Financeiros'!$J$85*('Indicadores Financeiros'!$J$91+'Indicadores Financeiros'!$J$92),0))),2)</f>
        <v>2659.7</v>
      </c>
      <c r="M8" s="78">
        <f>ROUND(L8*'Indicadores Financeiros'!$J$62,2)</f>
        <v>1941.32</v>
      </c>
      <c r="N8" s="49">
        <f>IF(OR(E8="posto/dia",E8="posto/dia líder"),ROUND('Indicadores Financeiros'!$J$98+'Indicadores Financeiros'!$J$99+'Indicadores Financeiros'!$J$101+'Indicadores Financeiros'!$J$102+ROUND(('Indicadores Financeiros'!$J$103*'Relatório Custo'!$H8),2)+'Indicadores Financeiros'!$J$100,2)+IF(ROUND((VLOOKUP($A8,'Indicadores Financeiros'!$A$123:$J$280,9,FALSE)*H8)-('Indicadores Financeiros'!$J$91*6%),2)&lt;0,0,ROUND((VLOOKUP($A8,'Indicadores Financeiros'!$A$123:$J$280,9,FALSE)*H8)-('Indicadores Financeiros'!$J$91*6%),2)),IF(E8="posto/hora",IF('Indicadores Financeiros'!$J$91=0,0,ROUND((VLOOKUP($B8,'Indicadores Financeiros'!$B$123:$I$182,8,FALSE)+'Indicadores Financeiros'!$J$103+'Indicadores Financeiros'!$J$86)*$H8,2)),0))</f>
        <v>999.18</v>
      </c>
      <c r="O8" s="49">
        <f>IF($E8="posto/hora extra",0,IF(OR(E8="posto/dia",E8="posto/dia líder"),VLOOKUP($C8,'Indicadores Financeiros'!$A$107:$J$119,8,FALSE)+VLOOKUP($C8,'Indicadores Financeiros'!$A$107:$J$119,9,FALSE)+VLOOKUP($C8,'Indicadores Financeiros'!$A$107:$J$119,10,FALSE),IF('Indicadores Financeiros'!$J$91=0,0,(VLOOKUP($C8,'Indicadores Financeiros'!$A$107:$J$119,9,FALSE)+VLOOKUP('Relatório Custo'!$C8,'Indicadores Financeiros'!$A$107:$J$119,10,FALSE)+('Indicadores Financeiros'!$J$87*'Relatório Custo'!$H8)))))</f>
        <v>240.3</v>
      </c>
      <c r="P8" s="49">
        <f>ROUND((L8+M8+N8+O8)*VLOOKUP($C8,'Indicadores Financeiros'!$A$107:$M$119,5,FALSE),2)</f>
        <v>0</v>
      </c>
      <c r="Q8" s="81">
        <f t="shared" si="3"/>
        <v>5840.5</v>
      </c>
      <c r="R8" s="81">
        <f t="shared" si="4"/>
        <v>5840.5</v>
      </c>
      <c r="S8" s="247">
        <f t="shared" ref="S8:S15" si="11">ROUND(R8/IF(OR(E8="Posto/Hora",E8="Posto/hora extra"),220,H8*IF(G8=2,G8,1)),2)</f>
        <v>26.55</v>
      </c>
      <c r="T8" s="47">
        <f>VLOOKUP($A8,'Indicadores Financeiros'!$A$123:$J$280,8,FALSE)</f>
        <v>0.2114</v>
      </c>
      <c r="U8" s="83">
        <f t="shared" si="5"/>
        <v>32.159999999999997</v>
      </c>
      <c r="V8" s="24">
        <f t="shared" si="6"/>
        <v>6432</v>
      </c>
      <c r="W8" s="91">
        <f>V8*('Indicadores Financeiros'!$F$13-F8+1)</f>
        <v>192960</v>
      </c>
      <c r="X8" s="20"/>
      <c r="Y8" s="114">
        <f>IF(AND(C8=680027,E8="posto/dia líder"),ROUND(('Indicadores Financeiros'!$J$91+'Indicadores Financeiros'!$J$92+'Indicadores Financeiros'!$J$96)*'Relatório Custo'!G8*'Relatório Custo'!J8,2),ROUND(IF(E8="posto/dia",(IF(VLOOKUP($C8,'Indicadores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Financeiros'!$J$92)),0)*G8*J8,2))</f>
        <v>0</v>
      </c>
      <c r="Z8" s="43">
        <f>IF(OR(E8="posto/dia",E8="posto/dia líder"),'Indicadores Financeiros'!$J$70,0)</f>
        <v>0</v>
      </c>
      <c r="AA8" s="41">
        <f t="shared" si="2"/>
        <v>0</v>
      </c>
      <c r="AB8" s="25"/>
      <c r="AC8" s="23">
        <f>IF(E8="posto/dia",ROUND((ROUND(((VLOOKUP($A8,'Indicadores Financeiros'!$A$123:$J$280,9,FALSE)*H8)-ROUND(('Indicadores Financeiros'!$J$91*6%),2))/H8,2)+ROUND('Indicadores Financeiros'!$J$103,2)+ROUND(VLOOKUP($C8,'Indicadores Financeiros'!$A$107:$J$113,9,FALSE)/H8,2)+ROUND((L8*'Indicadores Financeiros'!$J$60/H8),2))*(1+T8),2),0)</f>
        <v>0</v>
      </c>
      <c r="AD8" s="23">
        <f>IF(OR(E8="Posto/Dia",E8="Posto/Dia Líder"),ROUND(U8/IF(OR(C8=680010,C8=680023),600,720),2),0)</f>
        <v>0</v>
      </c>
      <c r="AE8" s="154"/>
      <c r="AF8" s="155"/>
      <c r="AG8" s="155"/>
      <c r="AH8" s="31"/>
      <c r="AI8" s="31"/>
      <c r="AJ8" s="31"/>
      <c r="AK8" s="31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</row>
    <row r="9" spans="1:347" s="26" customFormat="1" ht="24">
      <c r="A9" s="21">
        <v>1</v>
      </c>
      <c r="B9" s="22" t="str">
        <f>VLOOKUP($A9,'Indicadores Financeiros'!$A$123:$J$280,2,FALSE)</f>
        <v>SÃO PAULO</v>
      </c>
      <c r="C9" s="4">
        <v>680025</v>
      </c>
      <c r="D9" s="7" t="s">
        <v>142</v>
      </c>
      <c r="E9" s="7" t="str">
        <f>VLOOKUP($C9,'Indicadores Financeiros'!$A$107:$J$119,3,FALSE)</f>
        <v>Posto/Hora</v>
      </c>
      <c r="F9" s="4">
        <f>VLOOKUP($A9,'Indicadores Financeiros'!$A$123:$J$280,10,FALSE)</f>
        <v>1</v>
      </c>
      <c r="G9" s="4">
        <f>(VLOOKUP($C9,'Indicadores Financeiros'!$A$107:$J$119,6,FALSE))</f>
        <v>1</v>
      </c>
      <c r="H9" s="244">
        <f>VLOOKUP($C9,'Indicadores Financeiros'!$A$107:$J$119,7,FALSE)</f>
        <v>21</v>
      </c>
      <c r="I9" s="240">
        <f>IF(OR(C9=680018,C9=680023,C9=680028,C9=680021),21,IF(OR(E9="Posto/Dia",E9="Posto/Dia Líder"),INT(VLOOKUP($C9,'Indicadores Financeiros'!$A$107:$J$119,7,FALSE)*G9)+IF(OR(E9="Posto/Dia",E9="Posto/Dia Líder"),1,0),0))</f>
        <v>0</v>
      </c>
      <c r="J9" s="156">
        <v>250</v>
      </c>
      <c r="K9" s="77">
        <f t="shared" si="0"/>
        <v>250</v>
      </c>
      <c r="L9" s="78">
        <f>ROUND((IF(VLOOKUP($C9,'Indicadores Financeiros'!$A$107:$J$119,4,FALSE)="S",'Indicadores Financeiros'!$J$91+'Indicadores Financeiros'!$J$92+'Indicadores Financeiros'!$J$93+'Indicadores Financeiros'!$J$94+IF(E9="posto/dia",'Indicadores Financeiros'!$J$95,0)+IF(E9="posto/hora extra",'Indicadores Financeiros'!$J$85*('Indicadores Financeiros'!$J$91+'Indicadores Financeiros'!$J$92+'Indicadores Financeiros'!$J$93+'Indicadores Financeiros'!$J$94),0),'Indicadores Financeiros'!$J$91+'Indicadores Financeiros'!$J$92+IF(E9="posto/dia líder",'Indicadores Financeiros'!$J$96,0)+IF(E9="posto/hora extra",'Indicadores Financeiros'!$J$85*('Indicadores Financeiros'!$J$91+'Indicadores Financeiros'!$J$92),0))),2)</f>
        <v>3138.11</v>
      </c>
      <c r="M9" s="78">
        <f>ROUND(L9*'Indicadores Financeiros'!$J$62,2)</f>
        <v>2290.5100000000002</v>
      </c>
      <c r="N9" s="49">
        <f>IF(OR(E9="posto/dia",E9="posto/dia líder"),ROUND('Indicadores Financeiros'!$J$98+'Indicadores Financeiros'!$J$99+'Indicadores Financeiros'!$J$101+'Indicadores Financeiros'!$J$102+ROUND(('Indicadores Financeiros'!$J$103*'Relatório Custo'!$H9),2)+'Indicadores Financeiros'!$J$100,2)+IF(ROUND((VLOOKUP($A9,'Indicadores Financeiros'!$A$123:$J$280,9,FALSE)*H9)-('Indicadores Financeiros'!$J$91*6%),2)&lt;0,0,ROUND((VLOOKUP($A9,'Indicadores Financeiros'!$A$123:$J$280,9,FALSE)*H9)-('Indicadores Financeiros'!$J$91*6%),2)),IF(E9="posto/hora",IF('Indicadores Financeiros'!$J$91=0,0,ROUND((VLOOKUP($B9,'Indicadores Financeiros'!$B$123:$I$182,8,FALSE)+'Indicadores Financeiros'!$J$103+'Indicadores Financeiros'!$J$86)*$H9,2)),0))</f>
        <v>999.18</v>
      </c>
      <c r="O9" s="49">
        <f>IF($E9="posto/hora extra",0,IF(OR(E9="posto/dia",E9="posto/dia líder"),VLOOKUP($C9,'Indicadores Financeiros'!$A$107:$J$119,8,FALSE)+VLOOKUP($C9,'Indicadores Financeiros'!$A$107:$J$119,9,FALSE)+VLOOKUP($C9,'Indicadores Financeiros'!$A$107:$J$119,10,FALSE),IF('Indicadores Financeiros'!$J$91=0,0,(VLOOKUP($C9,'Indicadores Financeiros'!$A$107:$J$119,9,FALSE)+VLOOKUP('Relatório Custo'!$C9,'Indicadores Financeiros'!$A$107:$J$119,10,FALSE)+('Indicadores Financeiros'!$J$87*'Relatório Custo'!$H9)))))</f>
        <v>240.3</v>
      </c>
      <c r="P9" s="49">
        <f>ROUND((L9+M9+N9+O9)*VLOOKUP($C9,'Indicadores Financeiros'!$A$107:$M$119,5,FALSE),2)</f>
        <v>0</v>
      </c>
      <c r="Q9" s="81">
        <f t="shared" si="3"/>
        <v>6668.1000000000013</v>
      </c>
      <c r="R9" s="81">
        <f t="shared" si="4"/>
        <v>6668.1</v>
      </c>
      <c r="S9" s="247">
        <f t="shared" si="11"/>
        <v>30.31</v>
      </c>
      <c r="T9" s="47">
        <f>VLOOKUP($A9,'Indicadores Financeiros'!$A$123:$J$280,8,FALSE)</f>
        <v>0.2114</v>
      </c>
      <c r="U9" s="83">
        <f t="shared" si="5"/>
        <v>36.72</v>
      </c>
      <c r="V9" s="24">
        <f t="shared" si="6"/>
        <v>9180</v>
      </c>
      <c r="W9" s="91">
        <f>V9*('Indicadores Financeiros'!$F$13-F9+1)</f>
        <v>275400</v>
      </c>
      <c r="X9" s="20"/>
      <c r="Y9" s="114">
        <f>IF(AND(C9=680027,E9="posto/dia líder"),ROUND(('Indicadores Financeiros'!$J$91+'Indicadores Financeiros'!$J$92+'Indicadores Financeiros'!$J$96)*'Relatório Custo'!G9*'Relatório Custo'!J9,2),ROUND(IF(E9="posto/dia",(IF(VLOOKUP($C9,'Indicadores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Financeiros'!$J$92)),0)*G9*J9,2))</f>
        <v>0</v>
      </c>
      <c r="Z9" s="43">
        <f>IF(OR(E9="posto/dia",E9="posto/dia líder"),'Indicadores Financeiros'!$J$70,0)</f>
        <v>0</v>
      </c>
      <c r="AA9" s="41">
        <f t="shared" si="2"/>
        <v>0</v>
      </c>
      <c r="AB9" s="25"/>
      <c r="AC9" s="23">
        <f>IF(E9="posto/dia",ROUND((ROUND(((VLOOKUP($A9,'Indicadores Financeiros'!$A$123:$J$280,9,FALSE)*H9)-ROUND(('Indicadores Financeiros'!$J$91*6%),2))/H9,2)+ROUND('Indicadores Financeiros'!$J$103,2)+ROUND(VLOOKUP($C9,'Indicadores Financeiros'!$A$107:$J$113,9,FALSE)/H9,2)+ROUND((L9*'Indicadores Financeiros'!$J$60/H9),2))*(1+T9),2),0)</f>
        <v>0</v>
      </c>
      <c r="AD9" s="23">
        <f t="shared" si="7"/>
        <v>0</v>
      </c>
      <c r="AE9" s="154"/>
      <c r="AF9" s="155"/>
      <c r="AG9" s="155"/>
      <c r="AH9" s="31"/>
      <c r="AI9" s="31"/>
      <c r="AJ9" s="31"/>
      <c r="AK9" s="31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</row>
    <row r="10" spans="1:347" s="26" customFormat="1" ht="48">
      <c r="A10" s="21">
        <v>1</v>
      </c>
      <c r="B10" s="22" t="str">
        <f>VLOOKUP($A10,'Indicadores Financeiros'!$A$123:$J$280,2,FALSE)</f>
        <v>SÃO PAULO</v>
      </c>
      <c r="C10" s="4">
        <v>680027</v>
      </c>
      <c r="D10" s="7" t="str">
        <f>VLOOKUP($C10,'Indicadores Financeiros'!$A$107:$J$113,2,FALSE)</f>
        <v>Posto de vigilante diurno Líder - com almocista (repositor/repositora) - 12 horas - escala de 12X36 de segunda a domingo</v>
      </c>
      <c r="E10" s="7" t="str">
        <f>VLOOKUP($C10,'Indicadores Financeiros'!$A$107:$J$119,3,FALSE)</f>
        <v>Posto/Dia Líder</v>
      </c>
      <c r="F10" s="4">
        <f>VLOOKUP($A10,'Indicadores Financeiros'!$A$123:$J$280,10,FALSE)</f>
        <v>1</v>
      </c>
      <c r="G10" s="4">
        <f>(VLOOKUP($C10,'Indicadores Financeiros'!$A$107:$J$119,6,FALSE))</f>
        <v>2</v>
      </c>
      <c r="H10" s="244">
        <f>VLOOKUP($C10,'Indicadores Financeiros'!$A$107:$J$119,7,FALSE)</f>
        <v>15.22</v>
      </c>
      <c r="I10" s="240">
        <f>IF(OR(C10=680018,C10=680023,C10=680028,C10=680021),21,IF(OR(E10="Posto/Dia",E10="Posto/Dia Líder"),INT(VLOOKUP($C10,'Indicadores Financeiros'!$A$107:$J$119,7,FALSE)*G10)+IF(OR(E10="Posto/Dia",E10="Posto/Dia Líder"),1,0),0))</f>
        <v>31</v>
      </c>
      <c r="J10" s="156">
        <v>1</v>
      </c>
      <c r="K10" s="77">
        <f>IF(OR(E10="Posto/Dia",E10="Posto/Dia Líder"),I10*J10,J10)</f>
        <v>31</v>
      </c>
      <c r="L10" s="78">
        <f>ROUND((IF(VLOOKUP($C10,'Indicadores Financeiros'!$A$107:$J$119,4,FALSE)="S",'Indicadores Financeiros'!$J$91+'Indicadores Financeiros'!$J$92+'Indicadores Financeiros'!$J$93+'Indicadores Financeiros'!$J$94+IF(E10="posto/dia",'Indicadores Financeiros'!$J$95,0)+IF(E10="posto/hora extra",'Indicadores Financeiros'!$J$85*('Indicadores Financeiros'!$J$91+'Indicadores Financeiros'!$J$92+'Indicadores Financeiros'!$J$93+'Indicadores Financeiros'!$J$94),0),'Indicadores Financeiros'!$J$91+'Indicadores Financeiros'!$J$92+IF(E10="posto/dia líder",'Indicadores Financeiros'!$J$96,0)+IF(E10="posto/hora extra",'Indicadores Financeiros'!$J$85*('Indicadores Financeiros'!$J$91+'Indicadores Financeiros'!$J$92),0))),2)</f>
        <v>2905.21</v>
      </c>
      <c r="M10" s="78">
        <f>ROUND(L10*'Indicadores Financeiros'!$J$62,2)</f>
        <v>2120.5100000000002</v>
      </c>
      <c r="N10" s="49">
        <f>IF(OR(E10="posto/dia",E10="posto/dia líder"),ROUND('Indicadores Financeiros'!$J$98+'Indicadores Financeiros'!$J$99+'Indicadores Financeiros'!$J$101+'Indicadores Financeiros'!$J$102+ROUND(('Indicadores Financeiros'!$J$103*'Relatório Custo'!$H10),2)+'Indicadores Financeiros'!$J$100,2)+IF(ROUND((VLOOKUP($A10,'Indicadores Financeiros'!$A$123:$J$280,9,FALSE)*H10)-('Indicadores Financeiros'!$J$91*6%),2)&lt;0,0,ROUND((VLOOKUP($A10,'Indicadores Financeiros'!$A$123:$J$280,9,FALSE)*H10)-('Indicadores Financeiros'!$J$91*6%),2)),IF(E10="posto/hora",IF('Indicadores Financeiros'!$J$91=0,0,ROUND((VLOOKUP($B10,'Indicadores Financeiros'!$B$123:$I$182,8,FALSE)+'Indicadores Financeiros'!$J$103+'Indicadores Financeiros'!$J$86)*$H10,2)),0))</f>
        <v>713.72</v>
      </c>
      <c r="O10" s="49">
        <f>IF($E10="posto/hora extra",0,IF(OR(E10="posto/dia",E10="posto/dia líder"),VLOOKUP($C10,'Indicadores Financeiros'!$A$107:$J$119,8,FALSE)+VLOOKUP($C10,'Indicadores Financeiros'!$A$107:$J$119,9,FALSE)+VLOOKUP($C10,'Indicadores Financeiros'!$A$107:$J$119,10,FALSE),IF('Indicadores Financeiros'!$J$91=0,0,(VLOOKUP($C10,'Indicadores Financeiros'!$A$107:$J$119,9,FALSE)+VLOOKUP('Relatório Custo'!$C10,'Indicadores Financeiros'!$A$107:$J$119,10,FALSE)+('Indicadores Financeiros'!$J$87*'Relatório Custo'!$H10)))))</f>
        <v>201.97</v>
      </c>
      <c r="P10" s="49">
        <f>ROUND((L10+M10+N10+O10)*VLOOKUP($C10,'Indicadores Financeiros'!$A$107:$M$119,5,FALSE),2)</f>
        <v>495.12</v>
      </c>
      <c r="Q10" s="81">
        <f t="shared" ref="Q10" si="12">SUM(L10:P10)</f>
        <v>6436.5300000000007</v>
      </c>
      <c r="R10" s="81">
        <f t="shared" si="4"/>
        <v>12873.06</v>
      </c>
      <c r="S10" s="247">
        <f t="shared" si="11"/>
        <v>422.9</v>
      </c>
      <c r="T10" s="47">
        <f>VLOOKUP($A10,'Indicadores Financeiros'!$A$123:$J$280,8,FALSE)</f>
        <v>0.2114</v>
      </c>
      <c r="U10" s="83">
        <f>ROUND(S10*(1+T10),2)</f>
        <v>512.29999999999995</v>
      </c>
      <c r="V10" s="24">
        <f t="shared" si="6"/>
        <v>15881.3</v>
      </c>
      <c r="W10" s="91">
        <f>V10*('Indicadores Financeiros'!$F$13-F10+1)</f>
        <v>476439</v>
      </c>
      <c r="X10" s="20"/>
      <c r="Y10" s="114">
        <f>IF(AND(C10=680027,E10="posto/dia líder"),ROUND(('Indicadores Financeiros'!$J$91+'Indicadores Financeiros'!$J$92+'Indicadores Financeiros'!$J$96)*'Relatório Custo'!G10*'Relatório Custo'!J10,2),ROUND(IF(E10="posto/dia",(IF(VLOOKUP($C10,'Indicadores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Financeiros'!$J$92)),0)*G10*J10,2))</f>
        <v>5810.42</v>
      </c>
      <c r="Z10" s="43">
        <f>IF(OR(E10="posto/dia",E10="posto/dia líder"),'Indicadores Financeiros'!$J$70,0)</f>
        <v>0.31990000000000002</v>
      </c>
      <c r="AA10" s="41">
        <f>ROUND(Y10*$Z10,2)</f>
        <v>1858.75</v>
      </c>
      <c r="AB10" s="25"/>
      <c r="AC10" s="23">
        <f>IF(E10="posto/dia",ROUND((ROUND(((VLOOKUP($A10,'Indicadores Financeiros'!$A$123:$J$280,9,FALSE)*H10)-ROUND(('Indicadores Financeiros'!$J$91*6%),2))/H10,2)+ROUND('Indicadores Financeiros'!$J$103,2)+ROUND(VLOOKUP($C10,'Indicadores Financeiros'!$A$107:$J$113,9,FALSE)/H10,2)+ROUND((L10*'Indicadores Financeiros'!$J$60/H10),2))*(1+T10),2),0)</f>
        <v>0</v>
      </c>
      <c r="AD10" s="23">
        <f t="shared" si="7"/>
        <v>0.71</v>
      </c>
      <c r="AE10" s="154"/>
      <c r="AF10" s="155"/>
      <c r="AG10" s="155"/>
      <c r="AH10" s="31"/>
      <c r="AI10" s="31"/>
      <c r="AJ10" s="31"/>
      <c r="AK10" s="31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</row>
    <row r="11" spans="1:347" s="26" customFormat="1" ht="48">
      <c r="A11" s="21">
        <v>1</v>
      </c>
      <c r="B11" s="22" t="str">
        <f>VLOOKUP($A11,'Indicadores Financeiros'!$A$123:$J$280,2,FALSE)</f>
        <v>SÃO PAULO</v>
      </c>
      <c r="C11" s="4">
        <v>680028</v>
      </c>
      <c r="D11" s="7" t="str">
        <f>VLOOKUP($C11,'Indicadores Financeiros'!$A$107:$J$113,2,FALSE)</f>
        <v>Posto de vigilante diurno - com almocista (repositor/repositora) - 44 horas semanais - segunda a sexta-feira - com uso de arma de fogo</v>
      </c>
      <c r="E11" s="7" t="str">
        <f>VLOOKUP($C11,'Indicadores Financeiros'!$A$107:$J$119,3,FALSE)</f>
        <v>Posto/Dia</v>
      </c>
      <c r="F11" s="4">
        <f>VLOOKUP($A11,'Indicadores Financeiros'!$A$123:$J$280,10,FALSE)</f>
        <v>1</v>
      </c>
      <c r="G11" s="4">
        <f>(VLOOKUP($C11,'Indicadores Financeiros'!$A$107:$J$119,6,FALSE))</f>
        <v>1</v>
      </c>
      <c r="H11" s="244">
        <f>VLOOKUP($C11,'Indicadores Financeiros'!$A$107:$J$119,7,FALSE)</f>
        <v>21</v>
      </c>
      <c r="I11" s="240">
        <f>IF(OR(C11=680018,C11=680023,C11=680028,C11=680021),21,IF(OR(E11="Posto/Dia",E11="Posto/Dia Líder"),INT(VLOOKUP($C11,'Indicadores Financeiros'!$A$107:$J$119,7,FALSE)*G11)+IF(OR(E11="Posto/Dia",E11="Posto/Dia Líder"),1,0),0))</f>
        <v>21</v>
      </c>
      <c r="J11" s="156">
        <v>1</v>
      </c>
      <c r="K11" s="77">
        <f t="shared" ref="K11:K28" si="13">IF(OR(E11="Posto/Dia",E11="Posto/Dia Líder"),I11*J11,J11)</f>
        <v>21</v>
      </c>
      <c r="L11" s="78">
        <f>ROUND((IF(VLOOKUP($C11,'Indicadores Financeiros'!$A$107:$J$119,4,FALSE)="S",'Indicadores Financeiros'!$J$91+'Indicadores Financeiros'!$J$92+'Indicadores Financeiros'!$J$93+'Indicadores Financeiros'!$J$94+IF(E11="posto/dia",'Indicadores Financeiros'!$J$95,0)+IF(E11="posto/hora extra",'Indicadores Financeiros'!$J$85*('Indicadores Financeiros'!$J$91+'Indicadores Financeiros'!$J$92+'Indicadores Financeiros'!$J$93+'Indicadores Financeiros'!$J$94),0),'Indicadores Financeiros'!$J$91+'Indicadores Financeiros'!$J$92+IF(E11="posto/dia líder",'Indicadores Financeiros'!$J$96,0)+IF(E11="posto/hora extra",'Indicadores Financeiros'!$J$85*('Indicadores Financeiros'!$J$91+'Indicadores Financeiros'!$J$92),0))),2)</f>
        <v>2659.7</v>
      </c>
      <c r="M11" s="78">
        <f>ROUND(L11*'Indicadores Financeiros'!$J$62,2)</f>
        <v>1941.32</v>
      </c>
      <c r="N11" s="49">
        <f>IF(OR(E11="posto/dia",E11="posto/dia líder"),ROUND('Indicadores Financeiros'!$J$98+'Indicadores Financeiros'!$J$99+'Indicadores Financeiros'!$J$101+'Indicadores Financeiros'!$J$102+ROUND(('Indicadores Financeiros'!$J$103*'Relatório Custo'!$H11),2)+'Indicadores Financeiros'!$J$100,2)+IF(ROUND((VLOOKUP($A11,'Indicadores Financeiros'!$A$123:$J$280,9,FALSE)*H11)-('Indicadores Financeiros'!$J$91*6%),2)&lt;0,0,ROUND((VLOOKUP($A11,'Indicadores Financeiros'!$A$123:$J$280,9,FALSE)*H11)-('Indicadores Financeiros'!$J$91*6%),2)),IF(E11="posto/hora",IF('Indicadores Financeiros'!$J$91=0,0,ROUND((VLOOKUP($B11,'Indicadores Financeiros'!$B$123:$I$182,8,FALSE)+'Indicadores Financeiros'!$J$103+'Indicadores Financeiros'!$J$86)*$H11,2)),0))</f>
        <v>944.92000000000007</v>
      </c>
      <c r="O11" s="49">
        <f>IF($E11="posto/hora extra",0,IF(OR(E11="posto/dia",E11="posto/dia líder"),VLOOKUP($C11,'Indicadores Financeiros'!$A$107:$J$119,8,FALSE)+VLOOKUP($C11,'Indicadores Financeiros'!$A$107:$J$119,9,FALSE)+VLOOKUP($C11,'Indicadores Financeiros'!$A$107:$J$119,10,FALSE),IF('Indicadores Financeiros'!$J$91=0,0,(VLOOKUP($C11,'Indicadores Financeiros'!$A$107:$J$119,9,FALSE)+VLOOKUP('Relatório Custo'!$C11,'Indicadores Financeiros'!$A$107:$J$119,10,FALSE)+('Indicadores Financeiros'!$J$87*'Relatório Custo'!$H11)))))</f>
        <v>226.39</v>
      </c>
      <c r="P11" s="49">
        <f>ROUND((L11+M11+N11+O11)*VLOOKUP($C11,'Indicadores Financeiros'!$A$107:$M$119,5,FALSE),2)</f>
        <v>789.01</v>
      </c>
      <c r="Q11" s="81">
        <f t="shared" ref="Q11" si="14">SUM(L11:P11)</f>
        <v>6561.34</v>
      </c>
      <c r="R11" s="81">
        <f t="shared" ref="R11" si="15">ROUND(Q11*G11,2)</f>
        <v>6561.34</v>
      </c>
      <c r="S11" s="247">
        <f t="shared" si="11"/>
        <v>312.44</v>
      </c>
      <c r="T11" s="47">
        <f>VLOOKUP($A11,'Indicadores Financeiros'!$A$123:$J$280,8,FALSE)</f>
        <v>0.2114</v>
      </c>
      <c r="U11" s="83">
        <f t="shared" ref="U11" si="16">ROUND(S11*(1+T11),2)</f>
        <v>378.49</v>
      </c>
      <c r="V11" s="24">
        <f t="shared" si="6"/>
        <v>7948.29</v>
      </c>
      <c r="W11" s="91">
        <f>V11*('Indicadores Financeiros'!$F$13-F11+1)</f>
        <v>238448.7</v>
      </c>
      <c r="X11" s="20"/>
      <c r="Y11" s="114">
        <f>IF(AND(C11=680027,E11="posto/dia líder"),ROUND(('Indicadores Financeiros'!$J$91+'Indicadores Financeiros'!$J$92+'Indicadores Financeiros'!$J$96)*'Relatório Custo'!G11*'Relatório Custo'!J11,2),ROUND(IF(E11="posto/dia",(IF(VLOOKUP($C11,'Indicadores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Financeiros'!$J$92)),0)*G11*J11,2))</f>
        <v>2659.7</v>
      </c>
      <c r="Z11" s="43">
        <f>IF(OR(E11="posto/dia",E11="posto/dia líder"),'Indicadores Financeiros'!$J$70,0)</f>
        <v>0.31990000000000002</v>
      </c>
      <c r="AA11" s="41">
        <f t="shared" ref="AA11" si="17">ROUND(Y11*$Z11,2)</f>
        <v>850.84</v>
      </c>
      <c r="AB11" s="25"/>
      <c r="AC11" s="23">
        <f>IF(E11="posto/dia",ROUND((ROUND(((VLOOKUP($A11,'Indicadores Financeiros'!$A$123:$J$280,9,FALSE)*H11)-ROUND(('Indicadores Financeiros'!$J$91*6%),2))/H11,2)+ROUND('Indicadores Financeiros'!$J$103,2)+ROUND(VLOOKUP($C11,'Indicadores Financeiros'!$A$107:$J$113,9,FALSE)/H11,2)+ROUND((L11*'Indicadores Financeiros'!$J$60/H11),2))*(1+T11),2),0)</f>
        <v>69.930000000000007</v>
      </c>
      <c r="AD11" s="23">
        <f t="shared" si="7"/>
        <v>0.53</v>
      </c>
      <c r="AE11" s="154"/>
      <c r="AF11" s="155"/>
      <c r="AG11" s="155"/>
      <c r="AH11" s="31"/>
      <c r="AI11" s="31"/>
      <c r="AJ11" s="31"/>
      <c r="AK11" s="31">
        <f>AK10*(1+T10)</f>
        <v>0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</row>
    <row r="12" spans="1:347" s="26" customFormat="1" ht="24">
      <c r="A12" s="21">
        <v>1</v>
      </c>
      <c r="B12" s="22" t="str">
        <f>VLOOKUP($A12,'Indicadores Financeiros'!$A$123:$J$280,2,FALSE)</f>
        <v>SÃO PAULO</v>
      </c>
      <c r="C12" s="4">
        <v>680029</v>
      </c>
      <c r="D12" s="7" t="s">
        <v>143</v>
      </c>
      <c r="E12" s="7" t="str">
        <f>VLOOKUP($C12,'Indicadores Financeiros'!$A$107:$J$119,3,FALSE)</f>
        <v>Posto/Hora</v>
      </c>
      <c r="F12" s="4">
        <f>VLOOKUP($A12,'Indicadores Financeiros'!$A$123:$J$280,10,FALSE)</f>
        <v>1</v>
      </c>
      <c r="G12" s="4">
        <f>(VLOOKUP($C12,'Indicadores Financeiros'!$A$107:$J$119,6,FALSE))</f>
        <v>1</v>
      </c>
      <c r="H12" s="244">
        <f>VLOOKUP($C12,'Indicadores Financeiros'!$A$107:$J$119,7,FALSE)</f>
        <v>21</v>
      </c>
      <c r="I12" s="240">
        <f>IF(OR(C12=680018,C12=680023,C12=680028,C12=680021),21,IF(OR(E12="Posto/Dia",E12="Posto/Dia Líder"),INT(VLOOKUP($C12,'Indicadores Financeiros'!$A$107:$J$119,7,FALSE)*G12)+IF(OR(E12="Posto/Dia",E12="Posto/Dia Líder"),1,0),0))</f>
        <v>0</v>
      </c>
      <c r="J12" s="156">
        <v>300</v>
      </c>
      <c r="K12" s="77">
        <f t="shared" si="13"/>
        <v>300</v>
      </c>
      <c r="L12" s="78">
        <f>ROUND((IF(VLOOKUP($C12,'Indicadores Financeiros'!$A$107:$J$119,4,FALSE)="S",'Indicadores Financeiros'!$J$91+'Indicadores Financeiros'!$J$92+'Indicadores Financeiros'!$J$93+'Indicadores Financeiros'!$J$94+IF(E12="posto/dia",'Indicadores Financeiros'!$J$95,0)+IF(E12="posto/hora extra",'Indicadores Financeiros'!$J$85*('Indicadores Financeiros'!$J$91+'Indicadores Financeiros'!$J$92+'Indicadores Financeiros'!$J$93+'Indicadores Financeiros'!$J$94),0),'Indicadores Financeiros'!$J$91+'Indicadores Financeiros'!$J$92+IF(E12="posto/dia líder",'Indicadores Financeiros'!$J$96,0)+IF(E12="posto/hora extra",'Indicadores Financeiros'!$J$85*('Indicadores Financeiros'!$J$91+'Indicadores Financeiros'!$J$92),0))),2)</f>
        <v>2659.7</v>
      </c>
      <c r="M12" s="78">
        <f>ROUND(L12*'Indicadores Financeiros'!$J$62,2)</f>
        <v>1941.32</v>
      </c>
      <c r="N12" s="49">
        <f>IF(OR(E12="posto/dia",E12="posto/dia líder"),ROUND('Indicadores Financeiros'!$J$98+'Indicadores Financeiros'!$J$99+'Indicadores Financeiros'!$J$101+'Indicadores Financeiros'!$J$102+ROUND(('Indicadores Financeiros'!$J$103*'Relatório Custo'!$H12),2)+'Indicadores Financeiros'!$J$100,2)+IF(ROUND((VLOOKUP($A12,'Indicadores Financeiros'!$A$123:$J$280,9,FALSE)*H12)-('Indicadores Financeiros'!$J$91*6%),2)&lt;0,0,ROUND((VLOOKUP($A12,'Indicadores Financeiros'!$A$123:$J$280,9,FALSE)*H12)-('Indicadores Financeiros'!$J$91*6%),2)),IF(E12="posto/hora",IF('Indicadores Financeiros'!$J$91=0,0,ROUND((VLOOKUP($B12,'Indicadores Financeiros'!$B$123:$I$182,8,FALSE)+'Indicadores Financeiros'!$J$103+'Indicadores Financeiros'!$J$86)*$H12,2)),0))</f>
        <v>999.18</v>
      </c>
      <c r="O12" s="49">
        <f>IF($E12="posto/hora extra",0,IF(OR(E12="posto/dia",E12="posto/dia líder"),VLOOKUP($C12,'Indicadores Financeiros'!$A$107:$J$119,8,FALSE)+VLOOKUP($C12,'Indicadores Financeiros'!$A$107:$J$119,9,FALSE)+VLOOKUP($C12,'Indicadores Financeiros'!$A$107:$J$119,10,FALSE),IF('Indicadores Financeiros'!$J$91=0,0,(VLOOKUP($C12,'Indicadores Financeiros'!$A$107:$J$119,9,FALSE)+VLOOKUP('Relatório Custo'!$C12,'Indicadores Financeiros'!$A$107:$J$119,10,FALSE)+('Indicadores Financeiros'!$J$87*'Relatório Custo'!$H12)))))</f>
        <v>247.22</v>
      </c>
      <c r="P12" s="49">
        <f>ROUND((L12+M12+N12+O12)*VLOOKUP($C12,'Indicadores Financeiros'!$A$107:$M$119,5,FALSE),2)</f>
        <v>0</v>
      </c>
      <c r="Q12" s="81">
        <f t="shared" ref="Q12:Q15" si="18">SUM(L12:P12)</f>
        <v>5847.42</v>
      </c>
      <c r="R12" s="81">
        <f t="shared" si="4"/>
        <v>5847.42</v>
      </c>
      <c r="S12" s="247">
        <f t="shared" si="11"/>
        <v>26.58</v>
      </c>
      <c r="T12" s="47">
        <f>VLOOKUP($A12,'Indicadores Financeiros'!$A$123:$J$280,8,FALSE)</f>
        <v>0.2114</v>
      </c>
      <c r="U12" s="83">
        <f t="shared" ref="U12:U15" si="19">ROUND(S12*(1+T12),2)</f>
        <v>32.200000000000003</v>
      </c>
      <c r="V12" s="24">
        <f t="shared" si="6"/>
        <v>9660</v>
      </c>
      <c r="W12" s="91">
        <f>V12*('Indicadores Financeiros'!$F$13-F12+1)</f>
        <v>289800</v>
      </c>
      <c r="X12" s="20"/>
      <c r="Y12" s="114">
        <f>IF(AND(C12=680027,E12="posto/dia líder"),ROUND(('Indicadores Financeiros'!$J$91+'Indicadores Financeiros'!$J$92+'Indicadores Financeiros'!$J$96)*'Relatório Custo'!G12*'Relatório Custo'!J12,2),ROUND(IF(E12="posto/dia",(IF(VLOOKUP($C12,'Indicadores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Financeiros'!$J$92)),0)*G12*J12,2))</f>
        <v>0</v>
      </c>
      <c r="Z12" s="43">
        <f>IF(OR(E12="posto/dia",E12="posto/dia líder"),'Indicadores Financeiros'!$J$70,0)</f>
        <v>0</v>
      </c>
      <c r="AA12" s="41">
        <f t="shared" ref="AA12:AA18" si="20">ROUND(Y12*$Z12,2)</f>
        <v>0</v>
      </c>
      <c r="AB12" s="25"/>
      <c r="AC12" s="23">
        <f>IF(E12="posto/dia",ROUND((ROUND(((VLOOKUP($A12,'Indicadores Financeiros'!$A$123:$J$280,9,FALSE)*H12)-ROUND(('Indicadores Financeiros'!$J$91*6%),2))/H12,2)+ROUND('Indicadores Financeiros'!$J$103,2)+ROUND(VLOOKUP($C12,'Indicadores Financeiros'!$A$107:$J$113,9,FALSE)/H12,2)+ROUND((L12*'Indicadores Financeiros'!$J$60/H12),2))*(1+T12),2),0)</f>
        <v>0</v>
      </c>
      <c r="AD12" s="23">
        <f>IF(OR(E12="Posto/Dia",E12="Posto/Dia Líder"),ROUND(U12/IF(OR(C12=680010,C12=680023),600,720),2),0)</f>
        <v>0</v>
      </c>
      <c r="AE12" s="154"/>
      <c r="AF12" s="155"/>
      <c r="AG12" s="155"/>
      <c r="AH12" s="31"/>
      <c r="AI12" s="31"/>
      <c r="AJ12" s="31"/>
      <c r="AK12" s="31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</row>
    <row r="13" spans="1:347" s="26" customFormat="1" ht="24">
      <c r="A13" s="21">
        <v>1</v>
      </c>
      <c r="B13" s="22" t="str">
        <f>VLOOKUP($A13,'Indicadores Financeiros'!$A$123:$J$280,2,FALSE)</f>
        <v>SÃO PAULO</v>
      </c>
      <c r="C13" s="4">
        <v>680030</v>
      </c>
      <c r="D13" s="7" t="s">
        <v>145</v>
      </c>
      <c r="E13" s="7" t="str">
        <f>VLOOKUP($C13,'Indicadores Financeiros'!$A$107:$J$119,3,FALSE)</f>
        <v>Posto/Hora</v>
      </c>
      <c r="F13" s="4">
        <f>VLOOKUP($A13,'Indicadores Financeiros'!$A$123:$J$280,10,FALSE)</f>
        <v>1</v>
      </c>
      <c r="G13" s="4">
        <f>(VLOOKUP($C13,'Indicadores Financeiros'!$A$107:$J$119,6,FALSE))</f>
        <v>1</v>
      </c>
      <c r="H13" s="244">
        <f>VLOOKUP($C13,'Indicadores Financeiros'!$A$107:$J$119,7,FALSE)</f>
        <v>21</v>
      </c>
      <c r="I13" s="240">
        <f>IF(OR(C13=680018,C13=680023,C13=680028,C13=680021),21,IF(OR(E13="Posto/Dia",E13="Posto/Dia Líder"),INT(VLOOKUP($C13,'Indicadores Financeiros'!$A$107:$J$119,7,FALSE)*G13)+IF(OR(E13="Posto/Dia",E13="Posto/Dia Líder"),1,0),0))</f>
        <v>0</v>
      </c>
      <c r="J13" s="156">
        <v>150</v>
      </c>
      <c r="K13" s="77">
        <f t="shared" si="13"/>
        <v>150</v>
      </c>
      <c r="L13" s="78">
        <f>ROUND((IF(VLOOKUP($C13,'Indicadores Financeiros'!$A$107:$J$119,4,FALSE)="S",'Indicadores Financeiros'!$J$91+'Indicadores Financeiros'!$J$92+'Indicadores Financeiros'!$J$93+'Indicadores Financeiros'!$J$94+IF(E13="posto/dia",'Indicadores Financeiros'!$J$95,0)+IF(E13="posto/hora extra",'Indicadores Financeiros'!$J$85*('Indicadores Financeiros'!$J$91+'Indicadores Financeiros'!$J$92+'Indicadores Financeiros'!$J$93+'Indicadores Financeiros'!$J$94),0),'Indicadores Financeiros'!$J$91+'Indicadores Financeiros'!$J$92+IF(E13="posto/dia líder",'Indicadores Financeiros'!$J$96,0)+IF(E13="posto/hora extra",'Indicadores Financeiros'!$J$85*('Indicadores Financeiros'!$J$91+'Indicadores Financeiros'!$J$92),0))),2)</f>
        <v>3138.11</v>
      </c>
      <c r="M13" s="78">
        <f>ROUND(L13*'Indicadores Financeiros'!$J$62,2)</f>
        <v>2290.5100000000002</v>
      </c>
      <c r="N13" s="49">
        <f>IF(OR(E13="posto/dia",E13="posto/dia líder"),ROUND('Indicadores Financeiros'!$J$98+'Indicadores Financeiros'!$J$99+'Indicadores Financeiros'!$J$101+'Indicadores Financeiros'!$J$102+ROUND(('Indicadores Financeiros'!$J$103*'Relatório Custo'!$H13),2)+'Indicadores Financeiros'!$J$100,2)+IF(ROUND((VLOOKUP($A13,'Indicadores Financeiros'!$A$123:$J$280,9,FALSE)*H13)-('Indicadores Financeiros'!$J$91*6%),2)&lt;0,0,ROUND((VLOOKUP($A13,'Indicadores Financeiros'!$A$123:$J$280,9,FALSE)*H13)-('Indicadores Financeiros'!$J$91*6%),2)),IF(E13="posto/hora",IF('Indicadores Financeiros'!$J$91=0,0,ROUND((VLOOKUP($B13,'Indicadores Financeiros'!$B$123:$I$182,8,FALSE)+'Indicadores Financeiros'!$J$103+'Indicadores Financeiros'!$J$86)*$H13,2)),0))</f>
        <v>999.18</v>
      </c>
      <c r="O13" s="49">
        <f>IF($E13="posto/hora extra",0,IF(OR(E13="posto/dia",E13="posto/dia líder"),VLOOKUP($C13,'Indicadores Financeiros'!$A$107:$J$119,8,FALSE)+VLOOKUP($C13,'Indicadores Financeiros'!$A$107:$J$119,9,FALSE)+VLOOKUP($C13,'Indicadores Financeiros'!$A$107:$J$119,10,FALSE),IF('Indicadores Financeiros'!$J$91=0,0,(VLOOKUP($C13,'Indicadores Financeiros'!$A$107:$J$119,9,FALSE)+VLOOKUP('Relatório Custo'!$C13,'Indicadores Financeiros'!$A$107:$J$119,10,FALSE)+('Indicadores Financeiros'!$J$87*'Relatório Custo'!$H13)))))</f>
        <v>289.89999999999998</v>
      </c>
      <c r="P13" s="49">
        <f>ROUND((L13+M13+N13+O13)*VLOOKUP($C13,'Indicadores Financeiros'!$A$107:$M$119,5,FALSE),2)</f>
        <v>0</v>
      </c>
      <c r="Q13" s="81">
        <f t="shared" si="18"/>
        <v>6717.7000000000007</v>
      </c>
      <c r="R13" s="81">
        <f t="shared" si="4"/>
        <v>6717.7</v>
      </c>
      <c r="S13" s="247">
        <f t="shared" si="11"/>
        <v>30.54</v>
      </c>
      <c r="T13" s="47">
        <f>VLOOKUP($A13,'Indicadores Financeiros'!$A$123:$J$280,8,FALSE)</f>
        <v>0.2114</v>
      </c>
      <c r="U13" s="83">
        <f t="shared" si="19"/>
        <v>37</v>
      </c>
      <c r="V13" s="24">
        <f t="shared" si="6"/>
        <v>5550</v>
      </c>
      <c r="W13" s="91">
        <f>V13*('Indicadores Financeiros'!$F$13-F13+1)</f>
        <v>166500</v>
      </c>
      <c r="X13" s="20"/>
      <c r="Y13" s="114">
        <f>IF(AND(C13=680027,E13="posto/dia líder"),ROUND(('Indicadores Financeiros'!$J$91+'Indicadores Financeiros'!$J$92+'Indicadores Financeiros'!$J$96)*'Relatório Custo'!G13*'Relatório Custo'!J13,2),ROUND(IF(E13="posto/dia",(IF(VLOOKUP($C13,'Indicadores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Financeiros'!$J$92)),0)*G13*J13,2))</f>
        <v>0</v>
      </c>
      <c r="Z13" s="43">
        <f>IF(OR(E13="posto/dia",E13="posto/dia líder"),'Indicadores Financeiros'!$J$70,0)</f>
        <v>0</v>
      </c>
      <c r="AA13" s="41">
        <f t="shared" si="20"/>
        <v>0</v>
      </c>
      <c r="AB13" s="25"/>
      <c r="AC13" s="23">
        <f>IF(E13="posto/dia",ROUND((ROUND(((VLOOKUP($A13,'Indicadores Financeiros'!$A$123:$J$280,9,FALSE)*H13)-ROUND(('Indicadores Financeiros'!$J$91*6%),2))/H13,2)+ROUND('Indicadores Financeiros'!$J$103,2)+ROUND(VLOOKUP($C13,'Indicadores Financeiros'!$A$107:$J$113,9,FALSE)/H13,2)+ROUND((L13*'Indicadores Financeiros'!$J$60/H13),2))*(1+T13),2),0)</f>
        <v>0</v>
      </c>
      <c r="AD13" s="23">
        <f t="shared" si="7"/>
        <v>0</v>
      </c>
      <c r="AE13" s="154"/>
      <c r="AF13" s="155"/>
      <c r="AG13" s="155"/>
      <c r="AH13" s="31"/>
      <c r="AI13" s="31"/>
      <c r="AJ13" s="31"/>
      <c r="AK13" s="31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</row>
    <row r="14" spans="1:347" s="26" customFormat="1" ht="24">
      <c r="A14" s="21">
        <v>1</v>
      </c>
      <c r="B14" s="22" t="str">
        <f>VLOOKUP($A14,'Indicadores Financeiros'!$A$123:$J$280,2,FALSE)</f>
        <v>SÃO PAULO</v>
      </c>
      <c r="C14" s="4">
        <v>680031</v>
      </c>
      <c r="D14" s="7" t="s">
        <v>147</v>
      </c>
      <c r="E14" s="7" t="str">
        <f>VLOOKUP($C14,'Indicadores Financeiros'!$A$107:$J$119,3,FALSE)</f>
        <v>Posto/Hora extra</v>
      </c>
      <c r="F14" s="4">
        <f>VLOOKUP($A14,'Indicadores Financeiros'!$A$123:$J$280,10,FALSE)</f>
        <v>1</v>
      </c>
      <c r="G14" s="4">
        <f>(VLOOKUP($C14,'Indicadores Financeiros'!$A$107:$J$119,6,FALSE))</f>
        <v>1</v>
      </c>
      <c r="H14" s="244">
        <f>VLOOKUP($C14,'Indicadores Financeiros'!$A$107:$J$119,7,FALSE)</f>
        <v>21</v>
      </c>
      <c r="I14" s="240">
        <f>IF(OR(C14=680018,C14=680023,C14=680028,C14=680021),21,IF(OR(E14="Posto/Dia",E14="Posto/Dia Líder"),INT(VLOOKUP($C14,'Indicadores Financeiros'!$A$107:$J$119,7,FALSE)*G14)+IF(OR(E14="Posto/Dia",E14="Posto/Dia Líder"),1,0),0))</f>
        <v>0</v>
      </c>
      <c r="J14" s="156">
        <v>100</v>
      </c>
      <c r="K14" s="77">
        <f t="shared" si="13"/>
        <v>100</v>
      </c>
      <c r="L14" s="78">
        <f>ROUND((IF(VLOOKUP($C14,'Indicadores Financeiros'!$A$107:$J$119,4,FALSE)="S",'Indicadores Financeiros'!$J$91+'Indicadores Financeiros'!$J$92+'Indicadores Financeiros'!$J$93+'Indicadores Financeiros'!$J$94+IF(E14="posto/dia",'Indicadores Financeiros'!$J$95,0)+IF(E14="posto/hora extra",'Indicadores Financeiros'!$J$85*('Indicadores Financeiros'!$J$91+'Indicadores Financeiros'!$J$92+'Indicadores Financeiros'!$J$93+'Indicadores Financeiros'!$J$94),0),'Indicadores Financeiros'!$J$91+'Indicadores Financeiros'!$J$92+IF(E14="posto/dia líder",'Indicadores Financeiros'!$J$96,0)+IF(E14="posto/hora extra",'Indicadores Financeiros'!$J$85*('Indicadores Financeiros'!$J$91+'Indicadores Financeiros'!$J$92),0))),2)</f>
        <v>4255.5200000000004</v>
      </c>
      <c r="M14" s="78">
        <f>ROUND(L14*'Indicadores Financeiros'!$J$62,2)</f>
        <v>3106.1</v>
      </c>
      <c r="N14" s="49">
        <f>IF(OR(E14="posto/dia",E14="posto/dia líder"),ROUND('Indicadores Financeiros'!$J$98+'Indicadores Financeiros'!$J$99+'Indicadores Financeiros'!$J$101+'Indicadores Financeiros'!$J$102+ROUND(('Indicadores Financeiros'!$J$103*'Relatório Custo'!$H14),2)+'Indicadores Financeiros'!$J$100,2)+IF(ROUND((VLOOKUP($A14,'Indicadores Financeiros'!$A$123:$J$280,9,FALSE)*H14)-('Indicadores Financeiros'!$J$91*6%),2)&lt;0,0,ROUND((VLOOKUP($A14,'Indicadores Financeiros'!$A$123:$J$280,9,FALSE)*H14)-('Indicadores Financeiros'!$J$91*6%),2)),IF(E14="posto/hora",IF('Indicadores Financeiros'!$J$91=0,0,ROUND((VLOOKUP($B14,'Indicadores Financeiros'!$B$123:$I$182,8,FALSE)+'Indicadores Financeiros'!$J$103+'Indicadores Financeiros'!$J$86)*$H14,2)),0))</f>
        <v>0</v>
      </c>
      <c r="O14" s="49">
        <f>IF($E14="posto/hora extra",0,IF(OR(E14="posto/dia",E14="posto/dia líder"),VLOOKUP($C14,'Indicadores Financeiros'!$A$107:$J$119,8,FALSE)+VLOOKUP($C14,'Indicadores Financeiros'!$A$107:$J$119,9,FALSE)+VLOOKUP($C14,'Indicadores Financeiros'!$A$107:$J$119,10,FALSE),IF('Indicadores Financeiros'!$J$91=0,0,(VLOOKUP($C14,'Indicadores Financeiros'!$A$107:$J$119,9,FALSE)+VLOOKUP('Relatório Custo'!$C14,'Indicadores Financeiros'!$A$107:$J$119,10,FALSE)+('Indicadores Financeiros'!$J$87*'Relatório Custo'!$H14)))))</f>
        <v>0</v>
      </c>
      <c r="P14" s="49">
        <f>ROUND((L14+M14+N14+O14)*VLOOKUP($C14,'Indicadores Financeiros'!$A$107:$M$119,5,FALSE),2)</f>
        <v>0</v>
      </c>
      <c r="Q14" s="81">
        <f t="shared" si="18"/>
        <v>7361.6200000000008</v>
      </c>
      <c r="R14" s="81">
        <f t="shared" si="4"/>
        <v>7361.62</v>
      </c>
      <c r="S14" s="247">
        <f t="shared" si="11"/>
        <v>33.46</v>
      </c>
      <c r="T14" s="47">
        <f>VLOOKUP($A14,'Indicadores Financeiros'!$A$123:$J$280,8,FALSE)</f>
        <v>0.2114</v>
      </c>
      <c r="U14" s="83">
        <f t="shared" si="19"/>
        <v>40.53</v>
      </c>
      <c r="V14" s="24">
        <f t="shared" si="6"/>
        <v>4053</v>
      </c>
      <c r="W14" s="91">
        <f>V14*('Indicadores Financeiros'!$F$13-F14+1)</f>
        <v>121590</v>
      </c>
      <c r="X14" s="20"/>
      <c r="Y14" s="114">
        <f>IF(AND(C14=680027,E14="posto/dia líder"),ROUND(('Indicadores Financeiros'!$J$91+'Indicadores Financeiros'!$J$92+'Indicadores Financeiros'!$J$96)*'Relatório Custo'!G14*'Relatório Custo'!J14,2),ROUND(IF(E14="posto/dia",(IF(VLOOKUP($C14,'Indicadores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Financeiros'!$J$92)),0)*G14*J14,2))</f>
        <v>0</v>
      </c>
      <c r="Z14" s="43">
        <f>IF(OR(E14="posto/dia",E14="posto/dia líder"),'Indicadores Financeiros'!$J$70,0)</f>
        <v>0</v>
      </c>
      <c r="AA14" s="41">
        <f t="shared" si="20"/>
        <v>0</v>
      </c>
      <c r="AB14" s="25"/>
      <c r="AC14" s="23">
        <f>IF(E14="posto/dia",ROUND((ROUND(((VLOOKUP($A14,'Indicadores Financeiros'!$A$123:$J$280,9,FALSE)*H14)-ROUND(('Indicadores Financeiros'!$J$91*6%),2))/H14,2)+ROUND('Indicadores Financeiros'!$J$103,2)+ROUND(VLOOKUP($C14,'Indicadores Financeiros'!$A$107:$J$113,9,FALSE)/H14,2)+ROUND((L14*'Indicadores Financeiros'!$J$60/H14),2))*(1+T14),2),0)</f>
        <v>0</v>
      </c>
      <c r="AD14" s="23">
        <f t="shared" si="7"/>
        <v>0</v>
      </c>
      <c r="AE14" s="154"/>
      <c r="AF14" s="155"/>
      <c r="AG14" s="155"/>
      <c r="AH14" s="31"/>
      <c r="AI14" s="31"/>
      <c r="AJ14" s="31"/>
      <c r="AK14" s="31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</row>
    <row r="15" spans="1:347" s="26" customFormat="1" ht="24">
      <c r="A15" s="21">
        <v>1</v>
      </c>
      <c r="B15" s="22" t="str">
        <f>VLOOKUP($A15,'Indicadores Financeiros'!$A$123:$J$280,2,FALSE)</f>
        <v>SÃO PAULO</v>
      </c>
      <c r="C15" s="4">
        <v>680032</v>
      </c>
      <c r="D15" s="7" t="s">
        <v>149</v>
      </c>
      <c r="E15" s="7" t="str">
        <f>VLOOKUP($C15,'Indicadores Financeiros'!$A$107:$J$119,3,FALSE)</f>
        <v>Posto/Hora extra</v>
      </c>
      <c r="F15" s="4">
        <f>VLOOKUP($A15,'Indicadores Financeiros'!$A$123:$J$280,10,FALSE)</f>
        <v>1</v>
      </c>
      <c r="G15" s="4">
        <f>(VLOOKUP($C15,'Indicadores Financeiros'!$A$107:$J$119,6,FALSE))</f>
        <v>1</v>
      </c>
      <c r="H15" s="244">
        <f>VLOOKUP($C15,'Indicadores Financeiros'!$A$107:$J$119,7,FALSE)</f>
        <v>21</v>
      </c>
      <c r="I15" s="240">
        <f>IF(OR(C15=680018,C15=680023,C15=680028,C15=680021),21,IF(OR(E15="Posto/Dia",E15="Posto/Dia Líder"),INT(VLOOKUP($C15,'Indicadores Financeiros'!$A$107:$J$119,7,FALSE)*G15)+IF(OR(E15="Posto/Dia",E15="Posto/Dia Líder"),1,0),0))</f>
        <v>0</v>
      </c>
      <c r="J15" s="156">
        <v>50</v>
      </c>
      <c r="K15" s="77">
        <f t="shared" si="13"/>
        <v>50</v>
      </c>
      <c r="L15" s="78">
        <f>ROUND((IF(VLOOKUP($C15,'Indicadores Financeiros'!$A$107:$J$119,4,FALSE)="S",'Indicadores Financeiros'!$J$91+'Indicadores Financeiros'!$J$92+'Indicadores Financeiros'!$J$93+'Indicadores Financeiros'!$J$94+IF(E15="posto/dia",'Indicadores Financeiros'!$J$95,0)+IF(E15="posto/hora extra",'Indicadores Financeiros'!$J$85*('Indicadores Financeiros'!$J$91+'Indicadores Financeiros'!$J$92+'Indicadores Financeiros'!$J$93+'Indicadores Financeiros'!$J$94),0),'Indicadores Financeiros'!$J$91+'Indicadores Financeiros'!$J$92+IF(E15="posto/dia líder",'Indicadores Financeiros'!$J$96,0)+IF(E15="posto/hora extra",'Indicadores Financeiros'!$J$85*('Indicadores Financeiros'!$J$91+'Indicadores Financeiros'!$J$92),0))),2)</f>
        <v>5020.9799999999996</v>
      </c>
      <c r="M15" s="78">
        <f>ROUND(L15*'Indicadores Financeiros'!$J$62,2)</f>
        <v>3664.81</v>
      </c>
      <c r="N15" s="49">
        <f>IF(OR(E15="posto/dia",E15="posto/dia líder"),ROUND('Indicadores Financeiros'!$J$98+'Indicadores Financeiros'!$J$99+'Indicadores Financeiros'!$J$101+'Indicadores Financeiros'!$J$102+ROUND(('Indicadores Financeiros'!$J$103*'Relatório Custo'!$H15),2)+'Indicadores Financeiros'!$J$100,2)+IF(ROUND((VLOOKUP($A15,'Indicadores Financeiros'!$A$123:$J$280,9,FALSE)*H15)-('Indicadores Financeiros'!$J$91*6%),2)&lt;0,0,ROUND((VLOOKUP($A15,'Indicadores Financeiros'!$A$123:$J$280,9,FALSE)*H15)-('Indicadores Financeiros'!$J$91*6%),2)),IF(E15="posto/hora",IF('Indicadores Financeiros'!$J$91=0,0,ROUND((VLOOKUP($B15,'Indicadores Financeiros'!$B$123:$I$182,8,FALSE)+'Indicadores Financeiros'!$J$103+'Indicadores Financeiros'!$J$86)*$H15,2)),0))</f>
        <v>0</v>
      </c>
      <c r="O15" s="49">
        <f>IF($E15="posto/hora extra",0,IF(OR(E15="posto/dia",E15="posto/dia líder"),VLOOKUP($C15,'Indicadores Financeiros'!$A$107:$J$119,8,FALSE)+VLOOKUP($C15,'Indicadores Financeiros'!$A$107:$J$119,9,FALSE)+VLOOKUP($C15,'Indicadores Financeiros'!$A$107:$J$119,10,FALSE),IF('Indicadores Financeiros'!$J$91=0,0,(VLOOKUP($C15,'Indicadores Financeiros'!$A$107:$J$119,9,FALSE)+VLOOKUP('Relatório Custo'!$C15,'Indicadores Financeiros'!$A$107:$J$119,10,FALSE)+('Indicadores Financeiros'!$J$87*'Relatório Custo'!$H15)))))</f>
        <v>0</v>
      </c>
      <c r="P15" s="49">
        <f>ROUND((L15+M15+N15+O15)*VLOOKUP($C15,'Indicadores Financeiros'!$A$107:$M$119,5,FALSE),2)</f>
        <v>0</v>
      </c>
      <c r="Q15" s="81">
        <f t="shared" si="18"/>
        <v>8685.7899999999991</v>
      </c>
      <c r="R15" s="81">
        <f t="shared" si="4"/>
        <v>8685.7900000000009</v>
      </c>
      <c r="S15" s="247">
        <f t="shared" si="11"/>
        <v>39.479999999999997</v>
      </c>
      <c r="T15" s="47">
        <f>VLOOKUP($A15,'Indicadores Financeiros'!$A$123:$J$280,8,FALSE)</f>
        <v>0.2114</v>
      </c>
      <c r="U15" s="83">
        <f t="shared" si="19"/>
        <v>47.83</v>
      </c>
      <c r="V15" s="24">
        <f t="shared" si="6"/>
        <v>2391.5</v>
      </c>
      <c r="W15" s="91">
        <f>V15*('Indicadores Financeiros'!$F$13-F15+1)</f>
        <v>71745</v>
      </c>
      <c r="X15" s="20"/>
      <c r="Y15" s="114">
        <f>IF(AND(C15=680027,E15="posto/dia líder"),ROUND(('Indicadores Financeiros'!$J$91+'Indicadores Financeiros'!$J$92+'Indicadores Financeiros'!$J$96)*'Relatório Custo'!G15*'Relatório Custo'!J15,2),ROUND(IF(E15="posto/dia",(IF(VLOOKUP($C15,'Indicadores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Financeiros'!$J$92)),0)*G15*J15,2))</f>
        <v>0</v>
      </c>
      <c r="Z15" s="43">
        <f>IF(OR(E15="posto/dia",E15="posto/dia líder"),'Indicadores Financeiros'!$J$70,0)</f>
        <v>0</v>
      </c>
      <c r="AA15" s="41">
        <f t="shared" si="20"/>
        <v>0</v>
      </c>
      <c r="AB15" s="25"/>
      <c r="AC15" s="23">
        <f>IF(E15="posto/dia",ROUND((ROUND(((VLOOKUP($A15,'Indicadores Financeiros'!$A$123:$J$280,9,FALSE)*H15)-ROUND(('Indicadores Financeiros'!$J$91*6%),2))/H15,2)+ROUND('Indicadores Financeiros'!$J$103,2)+ROUND(VLOOKUP($C15,'Indicadores Financeiros'!$A$107:$J$113,9,FALSE)/H15,2)+ROUND((L15*'Indicadores Financeiros'!$J$60/H15),2))*(1+T15),2),0)</f>
        <v>0</v>
      </c>
      <c r="AD15" s="23">
        <f t="shared" si="7"/>
        <v>0</v>
      </c>
      <c r="AE15" s="154"/>
      <c r="AF15" s="155"/>
      <c r="AG15" s="155"/>
      <c r="AH15" s="31"/>
      <c r="AI15" s="31"/>
      <c r="AJ15" s="31"/>
      <c r="AK15" s="31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</row>
    <row r="16" spans="1:347" s="26" customFormat="1" ht="36">
      <c r="A16" s="21">
        <v>2</v>
      </c>
      <c r="B16" s="22" t="str">
        <f>VLOOKUP($A16,'Indicadores Financeiros'!$A$123:$J$280,2,FALSE)</f>
        <v>ÁGUAS DE LINDÓIA</v>
      </c>
      <c r="C16" s="4">
        <v>680004</v>
      </c>
      <c r="D16" s="7" t="str">
        <f>VLOOKUP($C16,'Indicadores Financeiros'!$A$107:$J$113,2,FALSE)</f>
        <v>Posto de vigilante noturno: 12 horas - escala de 12 x 36 de segunda-feira a domingo</v>
      </c>
      <c r="E16" s="7" t="str">
        <f>VLOOKUP($C16,'Indicadores Financeiros'!$A$107:$J$119,3,FALSE)</f>
        <v>Posto/Dia</v>
      </c>
      <c r="F16" s="4">
        <f>VLOOKUP($A16,'Indicadores Financeiros'!$A$123:$J$280,10,FALSE)</f>
        <v>1</v>
      </c>
      <c r="G16" s="4">
        <f>(VLOOKUP($C16,'Indicadores Financeiros'!$A$107:$J$119,6,FALSE))</f>
        <v>2</v>
      </c>
      <c r="H16" s="244">
        <f>VLOOKUP($C16,'Indicadores Financeiros'!$A$107:$J$119,7,FALSE)</f>
        <v>15.22</v>
      </c>
      <c r="I16" s="240">
        <f>IF(OR(C16=680018,C16=680023,C16=680028,C16=680021),21,IF(OR(E16="Posto/Dia",E16="Posto/Dia Líder"),INT(VLOOKUP($C16,'Indicadores Financeiros'!$A$107:$J$119,7,FALSE)*G16)+IF(OR(E16="Posto/Dia",E16="Posto/Dia Líder"),1,0),0))</f>
        <v>31</v>
      </c>
      <c r="J16" s="156">
        <v>1</v>
      </c>
      <c r="K16" s="77">
        <f t="shared" si="13"/>
        <v>31</v>
      </c>
      <c r="L16" s="78">
        <f>ROUND((IF(VLOOKUP($C16,'Indicadores Financeiros'!$A$107:$J$119,4,FALSE)="S",'Indicadores Financeiros'!$J$91+'Indicadores Financeiros'!$J$92+'Indicadores Financeiros'!$J$93+'Indicadores Financeiros'!$J$94+IF(E16="posto/dia",'Indicadores Financeiros'!$J$95,0)+IF(E16="posto/hora extra",'Indicadores Financeiros'!$J$85*('Indicadores Financeiros'!$J$91+'Indicadores Financeiros'!$J$92+'Indicadores Financeiros'!$J$93+'Indicadores Financeiros'!$J$94),0),'Indicadores Financeiros'!$J$91+'Indicadores Financeiros'!$J$92+IF(E16="posto/dia líder",'Indicadores Financeiros'!$J$96,0)+IF(E16="posto/hora extra",'Indicadores Financeiros'!$J$85*('Indicadores Financeiros'!$J$91+'Indicadores Financeiros'!$J$92),0))),2)</f>
        <v>3432.51</v>
      </c>
      <c r="M16" s="78">
        <f>ROUND(L16*'Indicadores Financeiros'!$J$62,2)</f>
        <v>2505.39</v>
      </c>
      <c r="N16" s="49">
        <f>IF(OR(E16="posto/dia",E16="posto/dia líder"),ROUND('Indicadores Financeiros'!$J$98+'Indicadores Financeiros'!$J$99+'Indicadores Financeiros'!$J$101+'Indicadores Financeiros'!$J$102+ROUND(('Indicadores Financeiros'!$J$103*'Relatório Custo'!$H16),2)+'Indicadores Financeiros'!$J$100,2)+IF(ROUND((VLOOKUP($A16,'Indicadores Financeiros'!$A$123:$J$280,9,FALSE)*H16)-('Indicadores Financeiros'!$J$91*6%),2)&lt;0,0,ROUND((VLOOKUP($A16,'Indicadores Financeiros'!$A$123:$J$280,9,FALSE)*H16)-('Indicadores Financeiros'!$J$91*6%),2)),IF(E16="posto/hora",IF('Indicadores Financeiros'!$J$91=0,0,ROUND((VLOOKUP($B16,'Indicadores Financeiros'!$B$123:$I$182,8,FALSE)+'Indicadores Financeiros'!$J$103+'Indicadores Financeiros'!$J$86)*$H16,2)),0))</f>
        <v>713.72</v>
      </c>
      <c r="O16" s="49">
        <f>IF($E16="posto/hora extra",0,IF(OR(E16="posto/dia",E16="posto/dia líder"),VLOOKUP($C16,'Indicadores Financeiros'!$A$107:$J$119,8,FALSE)+VLOOKUP($C16,'Indicadores Financeiros'!$A$107:$J$119,9,FALSE)+VLOOKUP($C16,'Indicadores Financeiros'!$A$107:$J$119,10,FALSE),IF('Indicadores Financeiros'!$J$91=0,0,(VLOOKUP($C16,'Indicadores Financeiros'!$A$107:$J$119,9,FALSE)+VLOOKUP('Relatório Custo'!$C16,'Indicadores Financeiros'!$A$107:$J$119,10,FALSE)+('Indicadores Financeiros'!$J$87*'Relatório Custo'!$H16)))))</f>
        <v>202.44</v>
      </c>
      <c r="P16" s="49">
        <f>ROUND((L16+M16+N16+O16)*VLOOKUP($C16,'Indicadores Financeiros'!$A$107:$M$119,5,FALSE),2)</f>
        <v>0</v>
      </c>
      <c r="Q16" s="81">
        <f>SUM(L16:P16)</f>
        <v>6854.0599999999995</v>
      </c>
      <c r="R16" s="81">
        <f>ROUND(Q16*G16,2)</f>
        <v>13708.12</v>
      </c>
      <c r="S16" s="247">
        <f t="shared" ref="S16:S28" si="21">ROUND(R16/IF(OR(E16="Posto/Hora",E16="Posto/hora extra"),220,H16*IF(G16=2,G16,1)),2)</f>
        <v>450.33</v>
      </c>
      <c r="T16" s="47">
        <f>VLOOKUP($A16,'Indicadores Financeiros'!$A$123:$J$280,8,FALSE)</f>
        <v>0.22439999999999999</v>
      </c>
      <c r="U16" s="83">
        <f>ROUND(S16*(1+T16),2)</f>
        <v>551.38</v>
      </c>
      <c r="V16" s="24">
        <f t="shared" si="6"/>
        <v>17092.78</v>
      </c>
      <c r="W16" s="91">
        <f>V16*('Indicadores Financeiros'!$F$13-F16+1)</f>
        <v>512783.39999999997</v>
      </c>
      <c r="X16" s="20"/>
      <c r="Y16" s="114">
        <f>IF(AND(C16=680027,E16="posto/dia líder"),ROUND(('Indicadores Financeiros'!$J$91+'Indicadores Financeiros'!$J$92+'Indicadores Financeiros'!$J$96)*'Relatório Custo'!G16*'Relatório Custo'!J16,2),ROUND(IF(E16="posto/dia",(IF(VLOOKUP($C16,'Indicadores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Financeiros'!$J$92)),0)*G16*J16,2))</f>
        <v>6865.02</v>
      </c>
      <c r="Z16" s="43">
        <f>IF(OR(E16="posto/dia",E16="posto/dia líder"),'Indicadores Financeiros'!$J$70,0)</f>
        <v>0.31990000000000002</v>
      </c>
      <c r="AA16" s="41">
        <f t="shared" si="20"/>
        <v>2196.12</v>
      </c>
      <c r="AB16" s="25"/>
      <c r="AC16" s="23">
        <f>IF(E16="posto/dia",ROUND((ROUND(((VLOOKUP($A16,'Indicadores Financeiros'!$A$123:$J$280,9,FALSE)*H16)-ROUND(('Indicadores Financeiros'!$J$91*6%),2))/H16,2)+'Indicadores Financeiros'!$J$103+ROUND(VLOOKUP($C16,'Indicadores Financeiros'!$A$107:$J$113,9,FALSE)/H16,2)+ROUND(((L16*'Indicadores Financeiros'!$J$60)/H16),2))*(1+T16),2),0)</f>
        <v>85.61</v>
      </c>
      <c r="AD16" s="23">
        <f>IF(OR(E16="Posto/Dia",E16="Posto/Dia Líder"),ROUND(U16/IF(OR(C16=680010,C16=680023),600,720),2),0)</f>
        <v>0.77</v>
      </c>
      <c r="AE16" s="154"/>
      <c r="AF16" s="155"/>
      <c r="AG16" s="155"/>
      <c r="AH16" s="31"/>
      <c r="AI16" s="31"/>
      <c r="AJ16" s="31"/>
      <c r="AK16" s="31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</row>
    <row r="17" spans="1:346" s="26" customFormat="1" ht="36">
      <c r="A17" s="21">
        <v>2</v>
      </c>
      <c r="B17" s="22" t="str">
        <f>VLOOKUP($A17,'Indicadores Financeiros'!$A$123:$J$280,2,FALSE)</f>
        <v>ÁGUAS DE LINDÓIA</v>
      </c>
      <c r="C17" s="4">
        <v>680011</v>
      </c>
      <c r="D17" s="7" t="str">
        <f>VLOOKUP($C17,'Indicadores Financeiros'!$A$107:$J$113,2,FALSE)</f>
        <v>Posto de vigilante diurno - com almocista (repositor) - 12 horas - escala de 12 x 36 de segunda-feira a domingo</v>
      </c>
      <c r="E17" s="7" t="str">
        <f>VLOOKUP($C17,'Indicadores Financeiros'!$A$107:$J$119,3,FALSE)</f>
        <v>Posto/Dia</v>
      </c>
      <c r="F17" s="4">
        <f>VLOOKUP($A17,'Indicadores Financeiros'!$A$123:$J$280,10,FALSE)</f>
        <v>1</v>
      </c>
      <c r="G17" s="4">
        <f>(VLOOKUP($C17,'Indicadores Financeiros'!$A$107:$J$119,6,FALSE))</f>
        <v>2</v>
      </c>
      <c r="H17" s="244">
        <f>VLOOKUP($C17,'Indicadores Financeiros'!$A$107:$J$119,7,FALSE)</f>
        <v>15.22</v>
      </c>
      <c r="I17" s="240">
        <f>IF(OR(C17=680018,C17=680023,C17=680028,C17=680021),21,IF(OR(E17="Posto/Dia",E17="Posto/Dia Líder"),INT(VLOOKUP($C17,'Indicadores Financeiros'!$A$107:$J$119,7,FALSE)*G17)+IF(OR(E17="Posto/Dia",E17="Posto/Dia Líder"),1,0),0))</f>
        <v>31</v>
      </c>
      <c r="J17" s="156">
        <v>1</v>
      </c>
      <c r="K17" s="77">
        <f t="shared" si="13"/>
        <v>31</v>
      </c>
      <c r="L17" s="78">
        <f>ROUND((IF(VLOOKUP($C17,'Indicadores Financeiros'!$A$107:$J$119,4,FALSE)="S",'Indicadores Financeiros'!$J$91+'Indicadores Financeiros'!$J$92+'Indicadores Financeiros'!$J$93+'Indicadores Financeiros'!$J$94+IF(E17="posto/dia",'Indicadores Financeiros'!$J$95,0)+IF(E17="posto/hora extra",'Indicadores Financeiros'!$J$85*('Indicadores Financeiros'!$J$91+'Indicadores Financeiros'!$J$92+'Indicadores Financeiros'!$J$93+'Indicadores Financeiros'!$J$94),0),'Indicadores Financeiros'!$J$91+'Indicadores Financeiros'!$J$92+IF(E17="posto/dia líder",'Indicadores Financeiros'!$J$96,0)+IF(E17="posto/hora extra",'Indicadores Financeiros'!$J$85*('Indicadores Financeiros'!$J$91+'Indicadores Financeiros'!$J$92),0))),2)</f>
        <v>2659.7</v>
      </c>
      <c r="M17" s="78">
        <f>ROUND(L17*'Indicadores Financeiros'!$J$62,2)</f>
        <v>1941.32</v>
      </c>
      <c r="N17" s="49">
        <f>IF(OR(E17="posto/dia",E17="posto/dia líder"),ROUND('Indicadores Financeiros'!$J$98+'Indicadores Financeiros'!$J$99+'Indicadores Financeiros'!$J$101+'Indicadores Financeiros'!$J$102+ROUND(('Indicadores Financeiros'!$J$103*'Relatório Custo'!$H17),2)+'Indicadores Financeiros'!$J$100,2)+IF(ROUND((VLOOKUP($A17,'Indicadores Financeiros'!$A$123:$J$280,9,FALSE)*H17)-('Indicadores Financeiros'!$J$91*6%),2)&lt;0,0,ROUND((VLOOKUP($A17,'Indicadores Financeiros'!$A$123:$J$280,9,FALSE)*H17)-('Indicadores Financeiros'!$J$91*6%),2)),IF(E17="posto/hora",IF('Indicadores Financeiros'!$J$91=0,0,ROUND((VLOOKUP($B17,'Indicadores Financeiros'!$B$123:$I$182,8,FALSE)+'Indicadores Financeiros'!$J$103+'Indicadores Financeiros'!$J$86)*$H17,2)),0))</f>
        <v>713.72</v>
      </c>
      <c r="O17" s="49">
        <f>IF($E17="posto/hora extra",0,IF(OR(E17="posto/dia",E17="posto/dia líder"),VLOOKUP($C17,'Indicadores Financeiros'!$A$107:$J$119,8,FALSE)+VLOOKUP($C17,'Indicadores Financeiros'!$A$107:$J$119,9,FALSE)+VLOOKUP($C17,'Indicadores Financeiros'!$A$107:$J$119,10,FALSE),IF('Indicadores Financeiros'!$J$91=0,0,(VLOOKUP($C17,'Indicadores Financeiros'!$A$107:$J$119,9,FALSE)+VLOOKUP('Relatório Custo'!$C17,'Indicadores Financeiros'!$A$107:$J$119,10,FALSE)+('Indicadores Financeiros'!$J$87*'Relatório Custo'!$H17)))))</f>
        <v>201.97</v>
      </c>
      <c r="P17" s="49">
        <f>ROUND((L17+M17+N17+O17)*VLOOKUP($C17,'Indicadores Financeiros'!$A$107:$M$119,5,FALSE),2)</f>
        <v>459.72</v>
      </c>
      <c r="Q17" s="81">
        <f t="shared" ref="Q17" si="22">SUM(L17:P17)</f>
        <v>5976.43</v>
      </c>
      <c r="R17" s="81">
        <f t="shared" ref="R17:R28" si="23">ROUND(Q17*G17,2)</f>
        <v>11952.86</v>
      </c>
      <c r="S17" s="247">
        <f t="shared" si="21"/>
        <v>392.67</v>
      </c>
      <c r="T17" s="47">
        <f>VLOOKUP($A17,'Indicadores Financeiros'!$A$123:$J$280,8,FALSE)</f>
        <v>0.22439999999999999</v>
      </c>
      <c r="U17" s="83">
        <f t="shared" ref="U17:U22" si="24">ROUND(S17*(1+T17),2)</f>
        <v>480.79</v>
      </c>
      <c r="V17" s="24">
        <f t="shared" si="6"/>
        <v>14904.49</v>
      </c>
      <c r="W17" s="91">
        <f>V17*('Indicadores Financeiros'!$F$13-F17+1)</f>
        <v>447134.7</v>
      </c>
      <c r="X17" s="20"/>
      <c r="Y17" s="114">
        <f>IF(AND(C17=680027,E17="posto/dia líder"),ROUND(('Indicadores Financeiros'!$J$91+'Indicadores Financeiros'!$J$92+'Indicadores Financeiros'!$J$96)*'Relatório Custo'!G17*'Relatório Custo'!J17,2),ROUND(IF(E17="posto/dia",(IF(VLOOKUP($C17,'Indicadores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Financeiros'!$J$92)),0)*G17*J17,2))</f>
        <v>5319.4</v>
      </c>
      <c r="Z17" s="43">
        <f>IF(OR(E17="posto/dia",E17="posto/dia líder"),'Indicadores Financeiros'!$J$70,0)</f>
        <v>0.31990000000000002</v>
      </c>
      <c r="AA17" s="41">
        <f t="shared" si="20"/>
        <v>1701.68</v>
      </c>
      <c r="AB17" s="25"/>
      <c r="AC17" s="23">
        <f>IF(E17="posto/dia",ROUND((ROUND(((VLOOKUP($A17,'Indicadores Financeiros'!$A$123:$J$280,9,FALSE)*H17)-ROUND(('Indicadores Financeiros'!$J$91*6%),2))/H17,2)+ROUND('Indicadores Financeiros'!$J$103,2)+ROUND(VLOOKUP($C17,'Indicadores Financeiros'!$A$107:$J$113,9,FALSE)/H17,2)+ROUND((L17*'Indicadores Financeiros'!$J$60/H17),2))*(1+T17),2),0)</f>
        <v>75.83</v>
      </c>
      <c r="AD17" s="23">
        <f t="shared" si="7"/>
        <v>0.67</v>
      </c>
      <c r="AE17" s="154"/>
      <c r="AF17" s="155"/>
      <c r="AG17" s="155"/>
      <c r="AH17" s="31"/>
      <c r="AI17" s="31"/>
      <c r="AJ17" s="31"/>
      <c r="AK17" s="31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</row>
    <row r="18" spans="1:346" s="26" customFormat="1" ht="36">
      <c r="A18" s="21">
        <v>2</v>
      </c>
      <c r="B18" s="22" t="str">
        <f>VLOOKUP($A18,'Indicadores Financeiros'!$A$123:$J$280,2,FALSE)</f>
        <v>ÁGUAS DE LINDÓIA</v>
      </c>
      <c r="C18" s="4">
        <v>680018</v>
      </c>
      <c r="D18" s="7" t="str">
        <f>VLOOKUP($C18,'Indicadores Financeiros'!$A$107:$J$113,2,FALSE)</f>
        <v>Posto de vigilante diurno - com almocista (repositor) - 44 horas semanais de segunda a sexta-feira - arma não letal</v>
      </c>
      <c r="E18" s="7" t="str">
        <f>VLOOKUP($C18,'Indicadores Financeiros'!$A$107:$J$119,3,FALSE)</f>
        <v>Posto/Dia</v>
      </c>
      <c r="F18" s="4">
        <f>VLOOKUP($A18,'Indicadores Financeiros'!$A$123:$J$280,10,FALSE)</f>
        <v>1</v>
      </c>
      <c r="G18" s="4">
        <f>(VLOOKUP($C18,'Indicadores Financeiros'!$A$107:$J$119,6,FALSE))</f>
        <v>1</v>
      </c>
      <c r="H18" s="244">
        <f>VLOOKUP($C18,'Indicadores Financeiros'!$A$107:$J$119,7,FALSE)</f>
        <v>21</v>
      </c>
      <c r="I18" s="240">
        <f>IF(OR(C18=680018,C18=680023,C18=680028,C18=680021),21,IF(OR(E18="Posto/Dia",E18="Posto/Dia Líder"),INT(VLOOKUP($C18,'Indicadores Financeiros'!$A$107:$J$119,7,FALSE)*G18)+IF(OR(E18="Posto/Dia",E18="Posto/Dia Líder"),1,0),0))</f>
        <v>21</v>
      </c>
      <c r="J18" s="156">
        <v>1</v>
      </c>
      <c r="K18" s="77">
        <f t="shared" si="13"/>
        <v>21</v>
      </c>
      <c r="L18" s="78">
        <f>ROUND((IF(VLOOKUP($C18,'Indicadores Financeiros'!$A$107:$J$119,4,FALSE)="S",'Indicadores Financeiros'!$J$91+'Indicadores Financeiros'!$J$92+'Indicadores Financeiros'!$J$93+'Indicadores Financeiros'!$J$94+IF(E18="posto/dia",'Indicadores Financeiros'!$J$95,0)+IF(E18="posto/hora extra",'Indicadores Financeiros'!$J$85*('Indicadores Financeiros'!$J$91+'Indicadores Financeiros'!$J$92+'Indicadores Financeiros'!$J$93+'Indicadores Financeiros'!$J$94),0),'Indicadores Financeiros'!$J$91+'Indicadores Financeiros'!$J$92+IF(E18="posto/dia líder",'Indicadores Financeiros'!$J$96,0)+IF(E18="posto/hora extra",'Indicadores Financeiros'!$J$85*('Indicadores Financeiros'!$J$91+'Indicadores Financeiros'!$J$92),0))),2)</f>
        <v>2659.7</v>
      </c>
      <c r="M18" s="78">
        <f>ROUND(L18*'Indicadores Financeiros'!$J$62,2)</f>
        <v>1941.32</v>
      </c>
      <c r="N18" s="49">
        <f>IF(OR(E18="posto/dia",E18="posto/dia líder"),ROUND('Indicadores Financeiros'!$J$98+'Indicadores Financeiros'!$J$99+'Indicadores Financeiros'!$J$101+'Indicadores Financeiros'!$J$102+ROUND(('Indicadores Financeiros'!$J$103*'Relatório Custo'!$H18),2)+'Indicadores Financeiros'!$J$100,2)+IF(ROUND((VLOOKUP($A18,'Indicadores Financeiros'!$A$123:$J$280,9,FALSE)*H18)-('Indicadores Financeiros'!$J$91*6%),2)&lt;0,0,ROUND((VLOOKUP($A18,'Indicadores Financeiros'!$A$123:$J$280,9,FALSE)*H18)-('Indicadores Financeiros'!$J$91*6%),2)),IF(E18="posto/hora",IF('Indicadores Financeiros'!$J$91=0,0,ROUND((VLOOKUP($B18,'Indicadores Financeiros'!$B$123:$I$182,8,FALSE)+'Indicadores Financeiros'!$J$103+'Indicadores Financeiros'!$J$86)*$H18,2)),0))</f>
        <v>944.92000000000007</v>
      </c>
      <c r="O18" s="49">
        <f>IF($E18="posto/hora extra",0,IF(OR(E18="posto/dia",E18="posto/dia líder"),VLOOKUP($C18,'Indicadores Financeiros'!$A$107:$J$119,8,FALSE)+VLOOKUP($C18,'Indicadores Financeiros'!$A$107:$J$119,9,FALSE)+VLOOKUP($C18,'Indicadores Financeiros'!$A$107:$J$119,10,FALSE),IF('Indicadores Financeiros'!$J$91=0,0,(VLOOKUP($C18,'Indicadores Financeiros'!$A$107:$J$119,9,FALSE)+VLOOKUP('Relatório Custo'!$C18,'Indicadores Financeiros'!$A$107:$J$119,10,FALSE)+('Indicadores Financeiros'!$J$87*'Relatório Custo'!$H18)))))</f>
        <v>183.71</v>
      </c>
      <c r="P18" s="49">
        <f>ROUND((L18+M18+N18+O18)*VLOOKUP($C18,'Indicadores Financeiros'!$A$107:$M$119,5,FALSE),2)</f>
        <v>783.18</v>
      </c>
      <c r="Q18" s="81">
        <f t="shared" ref="Q18" si="25">SUM(L18:P18)</f>
        <v>6512.83</v>
      </c>
      <c r="R18" s="81">
        <f t="shared" si="23"/>
        <v>6512.83</v>
      </c>
      <c r="S18" s="247">
        <f t="shared" si="21"/>
        <v>310.13</v>
      </c>
      <c r="T18" s="47">
        <f>VLOOKUP($A18,'Indicadores Financeiros'!$A$123:$J$280,8,FALSE)</f>
        <v>0.22439999999999999</v>
      </c>
      <c r="U18" s="83">
        <f t="shared" si="24"/>
        <v>379.72</v>
      </c>
      <c r="V18" s="24">
        <f t="shared" si="6"/>
        <v>7974.12</v>
      </c>
      <c r="W18" s="91">
        <f>V18*('Indicadores Financeiros'!$F$13-F18+1)</f>
        <v>239223.6</v>
      </c>
      <c r="X18" s="20"/>
      <c r="Y18" s="114">
        <f>IF(AND(C18=680027,E18="posto/dia líder"),ROUND(('Indicadores Financeiros'!$J$91+'Indicadores Financeiros'!$J$92+'Indicadores Financeiros'!$J$96)*'Relatório Custo'!G18*'Relatório Custo'!J18,2),ROUND(IF(E18="posto/dia",(IF(VLOOKUP($C18,'Indicadores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Financeiros'!$J$92)),0)*G18*J18,2))</f>
        <v>2659.7</v>
      </c>
      <c r="Z18" s="43">
        <f>IF(OR(E18="posto/dia",E18="posto/dia líder"),'Indicadores Financeiros'!$J$70,0)</f>
        <v>0.31990000000000002</v>
      </c>
      <c r="AA18" s="41">
        <f t="shared" si="20"/>
        <v>850.84</v>
      </c>
      <c r="AB18" s="25"/>
      <c r="AC18" s="23">
        <f>IF(E18="posto/dia",ROUND((ROUND(((VLOOKUP($A18,'Indicadores Financeiros'!$A$123:$J$280,9,FALSE)*H18)-ROUND(('Indicadores Financeiros'!$J$91*6%),2))/H18,2)+ROUND('Indicadores Financeiros'!$J$103,2)+ROUND(VLOOKUP($C18,'Indicadores Financeiros'!$A$107:$J$113,9,FALSE)/H18,2)+ROUND((L18*'Indicadores Financeiros'!$J$60/H18),2))*(1+T18),2),0)</f>
        <v>68.2</v>
      </c>
      <c r="AD18" s="23">
        <f t="shared" si="7"/>
        <v>0.53</v>
      </c>
      <c r="AE18" s="154"/>
      <c r="AF18" s="155"/>
      <c r="AG18" s="155"/>
      <c r="AH18" s="31"/>
      <c r="AI18" s="31"/>
      <c r="AJ18" s="31"/>
      <c r="AK18" s="31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</row>
    <row r="19" spans="1:346" s="26" customFormat="1" ht="36">
      <c r="A19" s="21">
        <v>2</v>
      </c>
      <c r="B19" s="22" t="str">
        <f>VLOOKUP($A19,'Indicadores Financeiros'!$A$123:$J$280,2,FALSE)</f>
        <v>ÁGUAS DE LINDÓIA</v>
      </c>
      <c r="C19" s="4">
        <v>680021</v>
      </c>
      <c r="D19" s="7" t="str">
        <f>VLOOKUP($C19,'Indicadores Financeiros'!$A$107:$J$113,2,FALSE)</f>
        <v xml:space="preserve">Posto de vigilante diurno - com almocista (repositor) - 12 horas diárias - segunda a sexta-feira </v>
      </c>
      <c r="E19" s="7" t="str">
        <f>VLOOKUP($C19,'Indicadores Financeiros'!$A$107:$J$119,3,FALSE)</f>
        <v>Posto/Dia</v>
      </c>
      <c r="F19" s="4">
        <f>VLOOKUP($A19,'Indicadores Financeiros'!$A$123:$J$280,10,FALSE)</f>
        <v>1</v>
      </c>
      <c r="G19" s="4">
        <f>(VLOOKUP($C19,'Indicadores Financeiros'!$A$107:$J$119,6,FALSE))</f>
        <v>1.37</v>
      </c>
      <c r="H19" s="244">
        <f>VLOOKUP($C19,'Indicadores Financeiros'!$A$107:$J$119,7,FALSE)</f>
        <v>21</v>
      </c>
      <c r="I19" s="240">
        <f>IF(OR(C19=680018,C19=680023,C19=680028,C19=680021),21,IF(OR(E19="Posto/Dia",E19="Posto/Dia Líder"),INT(VLOOKUP($C19,'Indicadores Financeiros'!$A$107:$J$119,7,FALSE)*G19)+IF(OR(E19="Posto/Dia",E19="Posto/Dia Líder"),1,0),0))</f>
        <v>21</v>
      </c>
      <c r="J19" s="156">
        <v>1</v>
      </c>
      <c r="K19" s="77">
        <f t="shared" si="13"/>
        <v>21</v>
      </c>
      <c r="L19" s="78">
        <f>ROUND((IF(VLOOKUP($C19,'Indicadores Financeiros'!$A$107:$J$119,4,FALSE)="S",'Indicadores Financeiros'!$J$91+'Indicadores Financeiros'!$J$92+'Indicadores Financeiros'!$J$93+'Indicadores Financeiros'!$J$94+IF(E19="posto/dia",'Indicadores Financeiros'!$J$95,0)+IF(E19="posto/hora extra",'Indicadores Financeiros'!$J$85*('Indicadores Financeiros'!$J$91+'Indicadores Financeiros'!$J$92+'Indicadores Financeiros'!$J$93+'Indicadores Financeiros'!$J$94),0),'Indicadores Financeiros'!$J$91+'Indicadores Financeiros'!$J$92+IF(E19="posto/dia líder",'Indicadores Financeiros'!$J$96,0)+IF(E19="posto/hora extra",'Indicadores Financeiros'!$J$85*('Indicadores Financeiros'!$J$91+'Indicadores Financeiros'!$J$92),0))),2)</f>
        <v>2659.7</v>
      </c>
      <c r="M19" s="78">
        <f>ROUND(L19*'Indicadores Financeiros'!$J$62,2)</f>
        <v>1941.32</v>
      </c>
      <c r="N19" s="49">
        <f>IF(OR(E19="posto/dia",E19="posto/dia líder"),ROUND('Indicadores Financeiros'!$J$98+'Indicadores Financeiros'!$J$99+'Indicadores Financeiros'!$J$101+'Indicadores Financeiros'!$J$102+ROUND(('Indicadores Financeiros'!$J$103*'Relatório Custo'!$H19),2)+'Indicadores Financeiros'!$J$100,2)+IF(ROUND((VLOOKUP($A19,'Indicadores Financeiros'!$A$123:$J$280,9,FALSE)*H19)-('Indicadores Financeiros'!$J$91*6%),2)&lt;0,0,ROUND((VLOOKUP($A19,'Indicadores Financeiros'!$A$123:$J$280,9,FALSE)*H19)-('Indicadores Financeiros'!$J$91*6%),2)),IF(E19="posto/hora",IF('Indicadores Financeiros'!$J$91=0,0,ROUND((VLOOKUP($B19,'Indicadores Financeiros'!$B$123:$I$182,8,FALSE)+'Indicadores Financeiros'!$J$103+'Indicadores Financeiros'!$J$86)*$H19,2)),0))</f>
        <v>944.92000000000007</v>
      </c>
      <c r="O19" s="49">
        <f>IF($E19="posto/hora extra",0,IF(OR(E19="posto/dia",E19="posto/dia líder"),VLOOKUP($C19,'Indicadores Financeiros'!$A$107:$J$119,8,FALSE)+VLOOKUP($C19,'Indicadores Financeiros'!$A$107:$J$119,9,FALSE)+VLOOKUP($C19,'Indicadores Financeiros'!$A$107:$J$119,10,FALSE),IF('Indicadores Financeiros'!$J$91=0,0,(VLOOKUP($C19,'Indicadores Financeiros'!$A$107:$J$119,9,FALSE)+VLOOKUP('Relatório Custo'!$C19,'Indicadores Financeiros'!$A$107:$J$119,10,FALSE)+('Indicadores Financeiros'!$J$87*'Relatório Custo'!$H19)))))</f>
        <v>205.3551824817518</v>
      </c>
      <c r="P19" s="49">
        <f>ROUND((L19+M19+N19+O19)*VLOOKUP($C19,'Indicadores Financeiros'!$A$107:$M$119,5,FALSE),2)</f>
        <v>655.12</v>
      </c>
      <c r="Q19" s="81">
        <f t="shared" ref="Q19:Q22" si="26">SUM(L19:P19)</f>
        <v>6406.4151824817509</v>
      </c>
      <c r="R19" s="81">
        <f t="shared" si="23"/>
        <v>8776.7900000000009</v>
      </c>
      <c r="S19" s="247">
        <f t="shared" si="21"/>
        <v>417.94</v>
      </c>
      <c r="T19" s="47">
        <f>VLOOKUP($A19,'Indicadores Financeiros'!$A$123:$J$280,8,FALSE)</f>
        <v>0.22439999999999999</v>
      </c>
      <c r="U19" s="83">
        <f t="shared" si="24"/>
        <v>511.73</v>
      </c>
      <c r="V19" s="24">
        <f t="shared" si="6"/>
        <v>10746.33</v>
      </c>
      <c r="W19" s="91">
        <f>V19*('Indicadores Financeiros'!$F$13-F19+1)</f>
        <v>322389.90000000002</v>
      </c>
      <c r="X19" s="20"/>
      <c r="Y19" s="114">
        <f>IF(AND(C19=680027,E19="posto/dia líder"),ROUND(('Indicadores Financeiros'!$J$91+'Indicadores Financeiros'!$J$92+'Indicadores Financeiros'!$J$96)*'Relatório Custo'!G19*'Relatório Custo'!J19,2),ROUND(IF(E19="posto/dia",(IF(VLOOKUP($C19,'Indicadores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Financeiros'!$J$92)),0)*G19*J19,2))</f>
        <v>3643.79</v>
      </c>
      <c r="Z19" s="43">
        <f>IF(OR(E19="posto/dia",E19="posto/dia líder"),'Indicadores Financeiros'!$J$70,0)</f>
        <v>0.31990000000000002</v>
      </c>
      <c r="AA19" s="41">
        <f>ROUND(Y19*$Z19,2)</f>
        <v>1165.6500000000001</v>
      </c>
      <c r="AB19" s="25"/>
      <c r="AC19" s="23">
        <f>IF(E19="posto/dia",ROUND((ROUND(((VLOOKUP($A19,'Indicadores Financeiros'!$A$123:$J$280,9,FALSE)*H19)-ROUND(('Indicadores Financeiros'!$J$91*6%),2))/H19,2)+ROUND('Indicadores Financeiros'!$J$103,2)+ROUND(VLOOKUP($C19,'Indicadores Financeiros'!$A$107:$J$113,9,FALSE)/H19,2)+ROUND((L19*'Indicadores Financeiros'!$J$60/H19),2))*(1+T19),2),0)</f>
        <v>69.47</v>
      </c>
      <c r="AD19" s="23">
        <f t="shared" si="7"/>
        <v>0.71</v>
      </c>
      <c r="AE19" s="154"/>
      <c r="AF19" s="155"/>
      <c r="AG19" s="155"/>
      <c r="AH19" s="31"/>
      <c r="AI19" s="31"/>
      <c r="AJ19" s="31"/>
      <c r="AK19" s="31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</row>
    <row r="20" spans="1:346" s="26" customFormat="1" ht="36">
      <c r="A20" s="21">
        <v>2</v>
      </c>
      <c r="B20" s="22" t="str">
        <f>VLOOKUP($A20,'Indicadores Financeiros'!$A$123:$J$280,2,FALSE)</f>
        <v>ÁGUAS DE LINDÓIA</v>
      </c>
      <c r="C20" s="4">
        <v>680023</v>
      </c>
      <c r="D20" s="7" t="str">
        <f>VLOOKUP($C20,'Indicadores Financeiros'!$A$107:$J$113,2,FALSE)</f>
        <v>Posto de vigilante diurno: com almocista (repositor) - 44 horas semanais de segunda a sexta-feira - desarmado</v>
      </c>
      <c r="E20" s="7" t="str">
        <f>VLOOKUP($C20,'Indicadores Financeiros'!$A$107:$J$119,3,FALSE)</f>
        <v>Posto/Dia</v>
      </c>
      <c r="F20" s="4">
        <f>VLOOKUP($A20,'Indicadores Financeiros'!$A$123:$J$280,10,FALSE)</f>
        <v>1</v>
      </c>
      <c r="G20" s="4">
        <f>(VLOOKUP($C20,'Indicadores Financeiros'!$A$107:$J$119,6,FALSE))</f>
        <v>1</v>
      </c>
      <c r="H20" s="244">
        <f>VLOOKUP($C20,'Indicadores Financeiros'!$A$107:$J$119,7,FALSE)</f>
        <v>21</v>
      </c>
      <c r="I20" s="240">
        <f>IF(OR(C20=680018,C20=680023,C20=680028,C20=680021),21,IF(OR(E20="Posto/Dia",E20="Posto/Dia Líder"),INT(VLOOKUP($C20,'Indicadores Financeiros'!$A$107:$J$119,7,FALSE)*G20)+IF(OR(E20="Posto/Dia",E20="Posto/Dia Líder"),1,0),0))</f>
        <v>21</v>
      </c>
      <c r="J20" s="156">
        <v>1</v>
      </c>
      <c r="K20" s="77">
        <f t="shared" si="13"/>
        <v>21</v>
      </c>
      <c r="L20" s="78">
        <f>ROUND((IF(VLOOKUP($C20,'Indicadores Financeiros'!$A$107:$J$119,4,FALSE)="S",'Indicadores Financeiros'!$J$91+'Indicadores Financeiros'!$J$92+'Indicadores Financeiros'!$J$93+'Indicadores Financeiros'!$J$94+IF(E20="posto/dia",'Indicadores Financeiros'!$J$95,0)+IF(E20="posto/hora extra",'Indicadores Financeiros'!$J$85*('Indicadores Financeiros'!$J$91+'Indicadores Financeiros'!$J$92+'Indicadores Financeiros'!$J$93+'Indicadores Financeiros'!$J$94),0),'Indicadores Financeiros'!$J$91+'Indicadores Financeiros'!$J$92+IF(E20="posto/dia líder",'Indicadores Financeiros'!$J$96,0)+IF(E20="posto/hora extra",'Indicadores Financeiros'!$J$85*('Indicadores Financeiros'!$J$91+'Indicadores Financeiros'!$J$92),0))),2)</f>
        <v>2659.7</v>
      </c>
      <c r="M20" s="78">
        <f>ROUND(L20*'Indicadores Financeiros'!$J$62,2)</f>
        <v>1941.32</v>
      </c>
      <c r="N20" s="49">
        <f>IF(OR(E20="posto/dia",E20="posto/dia líder"),ROUND('Indicadores Financeiros'!$J$98+'Indicadores Financeiros'!$J$99+'Indicadores Financeiros'!$J$101+'Indicadores Financeiros'!$J$102+ROUND(('Indicadores Financeiros'!$J$103*'Relatório Custo'!$H20),2)+'Indicadores Financeiros'!$J$100,2)+IF(ROUND((VLOOKUP($A20,'Indicadores Financeiros'!$A$123:$J$280,9,FALSE)*H20)-('Indicadores Financeiros'!$J$91*6%),2)&lt;0,0,ROUND((VLOOKUP($A20,'Indicadores Financeiros'!$A$123:$J$280,9,FALSE)*H20)-('Indicadores Financeiros'!$J$91*6%),2)),IF(E20="posto/hora",IF('Indicadores Financeiros'!$J$91=0,0,ROUND((VLOOKUP($B20,'Indicadores Financeiros'!$B$123:$I$182,8,FALSE)+'Indicadores Financeiros'!$J$103+'Indicadores Financeiros'!$J$86)*$H20,2)),0))</f>
        <v>944.92000000000007</v>
      </c>
      <c r="O20" s="49">
        <f>IF($E20="posto/hora extra",0,IF(OR(E20="posto/dia",E20="posto/dia líder"),VLOOKUP($C20,'Indicadores Financeiros'!$A$107:$J$119,8,FALSE)+VLOOKUP($C20,'Indicadores Financeiros'!$A$107:$J$119,9,FALSE)+VLOOKUP($C20,'Indicadores Financeiros'!$A$107:$J$119,10,FALSE),IF('Indicadores Financeiros'!$J$91=0,0,(VLOOKUP($C20,'Indicadores Financeiros'!$A$107:$J$119,9,FALSE)+VLOOKUP('Relatório Custo'!$C20,'Indicadores Financeiros'!$A$107:$J$119,10,FALSE)+('Indicadores Financeiros'!$J$87*'Relatório Custo'!$H20)))))</f>
        <v>176.1</v>
      </c>
      <c r="P20" s="49">
        <f>ROUND((L20+M20+N20+O20)*VLOOKUP($C20,'Indicadores Financeiros'!$A$107:$M$119,5,FALSE),2)</f>
        <v>782.14</v>
      </c>
      <c r="Q20" s="81">
        <f t="shared" si="26"/>
        <v>6504.18</v>
      </c>
      <c r="R20" s="81">
        <f t="shared" si="23"/>
        <v>6504.18</v>
      </c>
      <c r="S20" s="247">
        <f t="shared" si="21"/>
        <v>309.72000000000003</v>
      </c>
      <c r="T20" s="47">
        <f>VLOOKUP($A20,'Indicadores Financeiros'!$A$123:$J$280,8,FALSE)</f>
        <v>0.22439999999999999</v>
      </c>
      <c r="U20" s="83">
        <f t="shared" si="24"/>
        <v>379.22</v>
      </c>
      <c r="V20" s="24">
        <f t="shared" si="6"/>
        <v>7963.62</v>
      </c>
      <c r="W20" s="91">
        <f>V20*('Indicadores Financeiros'!$F$13-F20+1)</f>
        <v>238908.6</v>
      </c>
      <c r="X20" s="20"/>
      <c r="Y20" s="114">
        <f>IF(AND(C20=680027,E20="posto/dia líder"),ROUND(('Indicadores Financeiros'!$J$91+'Indicadores Financeiros'!$J$92+'Indicadores Financeiros'!$J$96)*'Relatório Custo'!G20*'Relatório Custo'!J20,2),ROUND(IF(E20="posto/dia",(IF(VLOOKUP($C20,'Indicadores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Financeiros'!$J$92)),0)*G20*J20,2))</f>
        <v>2659.7</v>
      </c>
      <c r="Z20" s="43">
        <f>IF(OR(E20="posto/dia",E20="posto/dia líder"),'Indicadores Financeiros'!$J$70,0)</f>
        <v>0.31990000000000002</v>
      </c>
      <c r="AA20" s="41">
        <f>ROUND(Y20*$Z20,2)</f>
        <v>850.84</v>
      </c>
      <c r="AB20" s="25"/>
      <c r="AC20" s="23">
        <f>IF(E20="posto/dia",ROUND((ROUND(((VLOOKUP($A20,'Indicadores Financeiros'!$A$123:$J$280,9,FALSE)*H20)-ROUND(('Indicadores Financeiros'!$J$91*6%),2))/H20,2)+ROUND('Indicadores Financeiros'!$J$103,2)+ROUND(VLOOKUP($C20,'Indicadores Financeiros'!$A$107:$J$113,9,FALSE)/H20,2)+ROUND((L20*'Indicadores Financeiros'!$J$60/H20),2))*(1+T20),2),0)</f>
        <v>67.8</v>
      </c>
      <c r="AD20" s="23">
        <f t="shared" si="7"/>
        <v>0.63</v>
      </c>
      <c r="AE20" s="154"/>
      <c r="AF20" s="155"/>
      <c r="AG20" s="155"/>
      <c r="AH20" s="31"/>
      <c r="AI20" s="31"/>
      <c r="AJ20" s="31"/>
      <c r="AK20" s="31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</row>
    <row r="21" spans="1:346" s="26" customFormat="1" ht="24">
      <c r="A21" s="21">
        <v>2</v>
      </c>
      <c r="B21" s="22" t="str">
        <f>VLOOKUP($A21,'Indicadores Financeiros'!$A$123:$J$280,2,FALSE)</f>
        <v>ÁGUAS DE LINDÓIA</v>
      </c>
      <c r="C21" s="4">
        <v>680024</v>
      </c>
      <c r="D21" s="7" t="s">
        <v>139</v>
      </c>
      <c r="E21" s="7" t="str">
        <f>VLOOKUP($C21,'Indicadores Financeiros'!$A$107:$J$119,3,FALSE)</f>
        <v>Posto/Hora</v>
      </c>
      <c r="F21" s="4">
        <f>VLOOKUP($A21,'Indicadores Financeiros'!$A$123:$J$280,10,FALSE)</f>
        <v>1</v>
      </c>
      <c r="G21" s="4">
        <f>(VLOOKUP($C21,'Indicadores Financeiros'!$A$107:$J$119,6,FALSE))</f>
        <v>1</v>
      </c>
      <c r="H21" s="244">
        <f>VLOOKUP($C21,'Indicadores Financeiros'!$A$107:$J$119,7,FALSE)</f>
        <v>21</v>
      </c>
      <c r="I21" s="240">
        <f>IF(OR(C21=680018,C21=680023,C21=680028,C21=680021),21,IF(OR(E21="Posto/Dia",E21="Posto/Dia Líder"),INT(VLOOKUP($C21,'Indicadores Financeiros'!$A$107:$J$119,7,FALSE)*G21)+IF(OR(E21="Posto/Dia",E21="Posto/Dia Líder"),1,0),0))</f>
        <v>0</v>
      </c>
      <c r="J21" s="156">
        <v>200</v>
      </c>
      <c r="K21" s="77">
        <f t="shared" si="13"/>
        <v>200</v>
      </c>
      <c r="L21" s="78">
        <f>ROUND((IF(VLOOKUP($C21,'Indicadores Financeiros'!$A$107:$J$119,4,FALSE)="S",'Indicadores Financeiros'!$J$91+'Indicadores Financeiros'!$J$92+'Indicadores Financeiros'!$J$93+'Indicadores Financeiros'!$J$94+IF(E21="posto/dia",'Indicadores Financeiros'!$J$95,0)+IF(E21="posto/hora extra",'Indicadores Financeiros'!$J$85*('Indicadores Financeiros'!$J$91+'Indicadores Financeiros'!$J$92+'Indicadores Financeiros'!$J$93+'Indicadores Financeiros'!$J$94),0),'Indicadores Financeiros'!$J$91+'Indicadores Financeiros'!$J$92+IF(E21="posto/dia líder",'Indicadores Financeiros'!$J$96,0)+IF(E21="posto/hora extra",'Indicadores Financeiros'!$J$85*('Indicadores Financeiros'!$J$91+'Indicadores Financeiros'!$J$92),0))),2)</f>
        <v>2659.7</v>
      </c>
      <c r="M21" s="78">
        <f>ROUND(L21*'Indicadores Financeiros'!$J$62,2)</f>
        <v>1941.32</v>
      </c>
      <c r="N21" s="49">
        <f>IF(OR(E21="posto/dia",E21="posto/dia líder"),ROUND('Indicadores Financeiros'!$J$98+'Indicadores Financeiros'!$J$99+'Indicadores Financeiros'!$J$101+'Indicadores Financeiros'!$J$102+ROUND(('Indicadores Financeiros'!$J$103*'Relatório Custo'!$H21),2)+'Indicadores Financeiros'!$J$100,2)+IF(ROUND((VLOOKUP($A21,'Indicadores Financeiros'!$A$123:$J$280,9,FALSE)*H21)-('Indicadores Financeiros'!$J$91*6%),2)&lt;0,0,ROUND((VLOOKUP($A21,'Indicadores Financeiros'!$A$123:$J$280,9,FALSE)*H21)-('Indicadores Financeiros'!$J$91*6%),2)),IF(E21="posto/hora",IF('Indicadores Financeiros'!$J$91=0,0,ROUND((VLOOKUP($B21,'Indicadores Financeiros'!$B$123:$I$182,8,FALSE)+'Indicadores Financeiros'!$J$103+'Indicadores Financeiros'!$J$86)*$H21,2)),0))</f>
        <v>999.18</v>
      </c>
      <c r="O21" s="49">
        <f>IF($E21="posto/hora extra",0,IF(OR(E21="posto/dia",E21="posto/dia líder"),VLOOKUP($C21,'Indicadores Financeiros'!$A$107:$J$119,8,FALSE)+VLOOKUP($C21,'Indicadores Financeiros'!$A$107:$J$119,9,FALSE)+VLOOKUP($C21,'Indicadores Financeiros'!$A$107:$J$119,10,FALSE),IF('Indicadores Financeiros'!$J$91=0,0,(VLOOKUP($C21,'Indicadores Financeiros'!$A$107:$J$119,9,FALSE)+VLOOKUP('Relatório Custo'!$C21,'Indicadores Financeiros'!$A$107:$J$119,10,FALSE)+('Indicadores Financeiros'!$J$87*'Relatório Custo'!$H21)))))</f>
        <v>240.3</v>
      </c>
      <c r="P21" s="49">
        <f>ROUND((L21+M21+N21+O21)*VLOOKUP($C21,'Indicadores Financeiros'!$A$107:$M$119,5,FALSE),2)</f>
        <v>0</v>
      </c>
      <c r="Q21" s="81">
        <f t="shared" si="26"/>
        <v>5840.5</v>
      </c>
      <c r="R21" s="81">
        <f t="shared" si="23"/>
        <v>5840.5</v>
      </c>
      <c r="S21" s="247">
        <f t="shared" si="21"/>
        <v>26.55</v>
      </c>
      <c r="T21" s="47">
        <f>VLOOKUP($A21,'Indicadores Financeiros'!$A$123:$J$280,8,FALSE)</f>
        <v>0.22439999999999999</v>
      </c>
      <c r="U21" s="83">
        <f t="shared" si="24"/>
        <v>32.51</v>
      </c>
      <c r="V21" s="24">
        <f t="shared" si="6"/>
        <v>6502</v>
      </c>
      <c r="W21" s="91">
        <f>V21*('Indicadores Financeiros'!$F$13-F21+1)</f>
        <v>195060</v>
      </c>
      <c r="X21" s="20"/>
      <c r="Y21" s="114">
        <f>IF(AND(C21=680027,E21="posto/dia líder"),ROUND(('Indicadores Financeiros'!$J$91+'Indicadores Financeiros'!$J$92+'Indicadores Financeiros'!$J$96)*'Relatório Custo'!G21*'Relatório Custo'!J21,2),ROUND(IF(E21="posto/dia",(IF(VLOOKUP($C21,'Indicadores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Financeiros'!$J$92)),0)*G21*J21,2))</f>
        <v>0</v>
      </c>
      <c r="Z21" s="43">
        <f>IF(OR(E21="posto/dia",E21="posto/dia líder"),'Indicadores Financeiros'!$J$70,0)</f>
        <v>0</v>
      </c>
      <c r="AA21" s="41">
        <f t="shared" ref="AA21:AA22" si="27">ROUND(Y21*$Z21,2)</f>
        <v>0</v>
      </c>
      <c r="AB21" s="25"/>
      <c r="AC21" s="23">
        <f>IF(E21="posto/dia",ROUND((ROUND(((VLOOKUP($A21,'Indicadores Financeiros'!$A$123:$J$280,9,FALSE)*H21)-ROUND(('Indicadores Financeiros'!$J$91*6%),2))/H21,2)+ROUND('Indicadores Financeiros'!$J$103,2)+ROUND(VLOOKUP($C21,'Indicadores Financeiros'!$A$107:$J$113,9,FALSE)/H21,2)+ROUND((L21*'Indicadores Financeiros'!$J$60/H21),2))*(1+T21),2),0)</f>
        <v>0</v>
      </c>
      <c r="AD21" s="23">
        <f>IF(OR(E21="Posto/Dia",E21="Posto/Dia Líder"),ROUND(U21/IF(OR(C21=680010,C21=680023),600,720),2),0)</f>
        <v>0</v>
      </c>
      <c r="AE21" s="154"/>
      <c r="AF21" s="155"/>
      <c r="AG21" s="155"/>
      <c r="AH21" s="31"/>
      <c r="AI21" s="31"/>
      <c r="AJ21" s="31"/>
      <c r="AK21" s="31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</row>
    <row r="22" spans="1:346" s="26" customFormat="1" ht="24">
      <c r="A22" s="21">
        <v>2</v>
      </c>
      <c r="B22" s="22" t="str">
        <f>VLOOKUP($A22,'Indicadores Financeiros'!$A$123:$J$280,2,FALSE)</f>
        <v>ÁGUAS DE LINDÓIA</v>
      </c>
      <c r="C22" s="4">
        <v>680025</v>
      </c>
      <c r="D22" s="7" t="s">
        <v>142</v>
      </c>
      <c r="E22" s="7" t="str">
        <f>VLOOKUP($C22,'Indicadores Financeiros'!$A$107:$J$119,3,FALSE)</f>
        <v>Posto/Hora</v>
      </c>
      <c r="F22" s="4">
        <f>VLOOKUP($A22,'Indicadores Financeiros'!$A$123:$J$280,10,FALSE)</f>
        <v>1</v>
      </c>
      <c r="G22" s="4">
        <f>(VLOOKUP($C22,'Indicadores Financeiros'!$A$107:$J$119,6,FALSE))</f>
        <v>1</v>
      </c>
      <c r="H22" s="244">
        <f>VLOOKUP($C22,'Indicadores Financeiros'!$A$107:$J$119,7,FALSE)</f>
        <v>21</v>
      </c>
      <c r="I22" s="240">
        <f>IF(OR(C22=680018,C22=680023,C22=680028,C22=680021),21,IF(OR(E22="Posto/Dia",E22="Posto/Dia Líder"),INT(VLOOKUP($C22,'Indicadores Financeiros'!$A$107:$J$119,7,FALSE)*G22)+IF(OR(E22="Posto/Dia",E22="Posto/Dia Líder"),1,0),0))</f>
        <v>0</v>
      </c>
      <c r="J22" s="156">
        <v>250</v>
      </c>
      <c r="K22" s="77">
        <f t="shared" si="13"/>
        <v>250</v>
      </c>
      <c r="L22" s="78">
        <f>ROUND((IF(VLOOKUP($C22,'Indicadores Financeiros'!$A$107:$J$119,4,FALSE)="S",'Indicadores Financeiros'!$J$91+'Indicadores Financeiros'!$J$92+'Indicadores Financeiros'!$J$93+'Indicadores Financeiros'!$J$94+IF(E22="posto/dia",'Indicadores Financeiros'!$J$95,0)+IF(E22="posto/hora extra",'Indicadores Financeiros'!$J$85*('Indicadores Financeiros'!$J$91+'Indicadores Financeiros'!$J$92+'Indicadores Financeiros'!$J$93+'Indicadores Financeiros'!$J$94),0),'Indicadores Financeiros'!$J$91+'Indicadores Financeiros'!$J$92+IF(E22="posto/dia líder",'Indicadores Financeiros'!$J$96,0)+IF(E22="posto/hora extra",'Indicadores Financeiros'!$J$85*('Indicadores Financeiros'!$J$91+'Indicadores Financeiros'!$J$92),0))),2)</f>
        <v>3138.11</v>
      </c>
      <c r="M22" s="78">
        <f>ROUND(L22*'Indicadores Financeiros'!$J$62,2)</f>
        <v>2290.5100000000002</v>
      </c>
      <c r="N22" s="49">
        <f>IF(OR(E22="posto/dia",E22="posto/dia líder"),ROUND('Indicadores Financeiros'!$J$98+'Indicadores Financeiros'!$J$99+'Indicadores Financeiros'!$J$101+'Indicadores Financeiros'!$J$102+ROUND(('Indicadores Financeiros'!$J$103*'Relatório Custo'!$H22),2)+'Indicadores Financeiros'!$J$100,2)+IF(ROUND((VLOOKUP($A22,'Indicadores Financeiros'!$A$123:$J$280,9,FALSE)*H22)-('Indicadores Financeiros'!$J$91*6%),2)&lt;0,0,ROUND((VLOOKUP($A22,'Indicadores Financeiros'!$A$123:$J$280,9,FALSE)*H22)-('Indicadores Financeiros'!$J$91*6%),2)),IF(E22="posto/hora",IF('Indicadores Financeiros'!$J$91=0,0,ROUND((VLOOKUP($B22,'Indicadores Financeiros'!$B$123:$I$182,8,FALSE)+'Indicadores Financeiros'!$J$103+'Indicadores Financeiros'!$J$86)*$H22,2)),0))</f>
        <v>999.18</v>
      </c>
      <c r="O22" s="49">
        <f>IF($E22="posto/hora extra",0,IF(OR(E22="posto/dia",E22="posto/dia líder"),VLOOKUP($C22,'Indicadores Financeiros'!$A$107:$J$119,8,FALSE)+VLOOKUP($C22,'Indicadores Financeiros'!$A$107:$J$119,9,FALSE)+VLOOKUP($C22,'Indicadores Financeiros'!$A$107:$J$119,10,FALSE),IF('Indicadores Financeiros'!$J$91=0,0,(VLOOKUP($C22,'Indicadores Financeiros'!$A$107:$J$119,9,FALSE)+VLOOKUP('Relatório Custo'!$C22,'Indicadores Financeiros'!$A$107:$J$119,10,FALSE)+('Indicadores Financeiros'!$J$87*'Relatório Custo'!$H22)))))</f>
        <v>240.3</v>
      </c>
      <c r="P22" s="49">
        <f>ROUND((L22+M22+N22+O22)*VLOOKUP($C22,'Indicadores Financeiros'!$A$107:$M$119,5,FALSE),2)</f>
        <v>0</v>
      </c>
      <c r="Q22" s="81">
        <f t="shared" si="26"/>
        <v>6668.1000000000013</v>
      </c>
      <c r="R22" s="81">
        <f t="shared" si="23"/>
        <v>6668.1</v>
      </c>
      <c r="S22" s="247">
        <f t="shared" si="21"/>
        <v>30.31</v>
      </c>
      <c r="T22" s="47">
        <f>VLOOKUP($A22,'Indicadores Financeiros'!$A$123:$J$280,8,FALSE)</f>
        <v>0.22439999999999999</v>
      </c>
      <c r="U22" s="83">
        <f t="shared" si="24"/>
        <v>37.11</v>
      </c>
      <c r="V22" s="24">
        <f t="shared" si="6"/>
        <v>9277.5</v>
      </c>
      <c r="W22" s="91">
        <f>V22*('Indicadores Financeiros'!$F$13-F22+1)</f>
        <v>278325</v>
      </c>
      <c r="X22" s="20"/>
      <c r="Y22" s="114">
        <f>IF(AND(C22=680027,E22="posto/dia líder"),ROUND(('Indicadores Financeiros'!$J$91+'Indicadores Financeiros'!$J$92+'Indicadores Financeiros'!$J$96)*'Relatório Custo'!G22*'Relatório Custo'!J22,2),ROUND(IF(E22="posto/dia",(IF(VLOOKUP($C22,'Indicadores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Financeiros'!$J$92)),0)*G22*J22,2))</f>
        <v>0</v>
      </c>
      <c r="Z22" s="43">
        <f>IF(OR(E22="posto/dia",E22="posto/dia líder"),'Indicadores Financeiros'!$J$70,0)</f>
        <v>0</v>
      </c>
      <c r="AA22" s="41">
        <f t="shared" si="27"/>
        <v>0</v>
      </c>
      <c r="AB22" s="25"/>
      <c r="AC22" s="23">
        <f>IF(E22="posto/dia",ROUND((ROUND(((VLOOKUP($A22,'Indicadores Financeiros'!$A$123:$J$280,9,FALSE)*H22)-ROUND(('Indicadores Financeiros'!$J$91*6%),2))/H22,2)+ROUND('Indicadores Financeiros'!$J$103,2)+ROUND(VLOOKUP($C22,'Indicadores Financeiros'!$A$107:$J$113,9,FALSE)/H22,2)+ROUND((L22*'Indicadores Financeiros'!$J$60/H22),2))*(1+T22),2),0)</f>
        <v>0</v>
      </c>
      <c r="AD22" s="23">
        <f t="shared" si="7"/>
        <v>0</v>
      </c>
      <c r="AE22" s="154"/>
      <c r="AF22" s="155"/>
      <c r="AG22" s="155"/>
      <c r="AH22" s="31"/>
      <c r="AI22" s="31"/>
      <c r="AJ22" s="31"/>
      <c r="AK22" s="31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</row>
    <row r="23" spans="1:346" s="26" customFormat="1" ht="48">
      <c r="A23" s="21">
        <v>2</v>
      </c>
      <c r="B23" s="22" t="str">
        <f>VLOOKUP($A23,'Indicadores Financeiros'!$A$123:$J$280,2,FALSE)</f>
        <v>ÁGUAS DE LINDÓIA</v>
      </c>
      <c r="C23" s="4">
        <v>680027</v>
      </c>
      <c r="D23" s="7" t="str">
        <f>VLOOKUP($C23,'Indicadores Financeiros'!$A$107:$J$113,2,FALSE)</f>
        <v>Posto de vigilante diurno Líder - com almocista (repositor/repositora) - 12 horas - escala de 12X36 de segunda a domingo</v>
      </c>
      <c r="E23" s="7" t="str">
        <f>VLOOKUP($C23,'Indicadores Financeiros'!$A$107:$J$119,3,FALSE)</f>
        <v>Posto/Dia Líder</v>
      </c>
      <c r="F23" s="4">
        <f>VLOOKUP($A23,'Indicadores Financeiros'!$A$123:$J$280,10,FALSE)</f>
        <v>1</v>
      </c>
      <c r="G23" s="4">
        <f>(VLOOKUP($C23,'Indicadores Financeiros'!$A$107:$J$119,6,FALSE))</f>
        <v>2</v>
      </c>
      <c r="H23" s="244">
        <f>VLOOKUP($C23,'Indicadores Financeiros'!$A$107:$J$119,7,FALSE)</f>
        <v>15.22</v>
      </c>
      <c r="I23" s="240">
        <f>IF(OR(C23=680018,C23=680023,C23=680028,C23=680021),21,IF(OR(E23="Posto/Dia",E23="Posto/Dia Líder"),INT(VLOOKUP($C23,'Indicadores Financeiros'!$A$107:$J$119,7,FALSE)*G23)+IF(OR(E23="Posto/Dia",E23="Posto/Dia Líder"),1,0),0))</f>
        <v>31</v>
      </c>
      <c r="J23" s="156">
        <v>1</v>
      </c>
      <c r="K23" s="77">
        <f t="shared" si="13"/>
        <v>31</v>
      </c>
      <c r="L23" s="78">
        <f>ROUND((IF(VLOOKUP($C23,'Indicadores Financeiros'!$A$107:$J$119,4,FALSE)="S",'Indicadores Financeiros'!$J$91+'Indicadores Financeiros'!$J$92+'Indicadores Financeiros'!$J$93+'Indicadores Financeiros'!$J$94+IF(E23="posto/dia",'Indicadores Financeiros'!$J$95,0)+IF(E23="posto/hora extra",'Indicadores Financeiros'!$J$85*('Indicadores Financeiros'!$J$91+'Indicadores Financeiros'!$J$92+'Indicadores Financeiros'!$J$93+'Indicadores Financeiros'!$J$94),0),'Indicadores Financeiros'!$J$91+'Indicadores Financeiros'!$J$92+IF(E23="posto/dia líder",'Indicadores Financeiros'!$J$96,0)+IF(E23="posto/hora extra",'Indicadores Financeiros'!$J$85*('Indicadores Financeiros'!$J$91+'Indicadores Financeiros'!$J$92),0))),2)</f>
        <v>2905.21</v>
      </c>
      <c r="M23" s="78">
        <f>ROUND(L23*'Indicadores Financeiros'!$J$62,2)</f>
        <v>2120.5100000000002</v>
      </c>
      <c r="N23" s="49">
        <f>IF(OR(E23="posto/dia",E23="posto/dia líder"),ROUND('Indicadores Financeiros'!$J$98+'Indicadores Financeiros'!$J$99+'Indicadores Financeiros'!$J$101+'Indicadores Financeiros'!$J$102+ROUND(('Indicadores Financeiros'!$J$103*'Relatório Custo'!$H23),2)+'Indicadores Financeiros'!$J$100,2)+IF(ROUND((VLOOKUP($A23,'Indicadores Financeiros'!$A$123:$J$280,9,FALSE)*H23)-('Indicadores Financeiros'!$J$91*6%),2)&lt;0,0,ROUND((VLOOKUP($A23,'Indicadores Financeiros'!$A$123:$J$280,9,FALSE)*H23)-('Indicadores Financeiros'!$J$91*6%),2)),IF(E23="posto/hora",IF('Indicadores Financeiros'!$J$91=0,0,ROUND((VLOOKUP($B23,'Indicadores Financeiros'!$B$123:$I$182,8,FALSE)+'Indicadores Financeiros'!$J$103+'Indicadores Financeiros'!$J$86)*$H23,2)),0))</f>
        <v>713.72</v>
      </c>
      <c r="O23" s="49">
        <f>IF($E23="posto/hora extra",0,IF(OR(E23="posto/dia",E23="posto/dia líder"),VLOOKUP($C23,'Indicadores Financeiros'!$A$107:$J$119,8,FALSE)+VLOOKUP($C23,'Indicadores Financeiros'!$A$107:$J$119,9,FALSE)+VLOOKUP($C23,'Indicadores Financeiros'!$A$107:$J$119,10,FALSE),IF('Indicadores Financeiros'!$J$91=0,0,(VLOOKUP($C23,'Indicadores Financeiros'!$A$107:$J$119,9,FALSE)+VLOOKUP('Relatório Custo'!$C23,'Indicadores Financeiros'!$A$107:$J$119,10,FALSE)+('Indicadores Financeiros'!$J$87*'Relatório Custo'!$H23)))))</f>
        <v>201.97</v>
      </c>
      <c r="P23" s="49">
        <f>ROUND((L23+M23+N23+O23)*VLOOKUP($C23,'Indicadores Financeiros'!$A$107:$M$119,5,FALSE),2)</f>
        <v>495.12</v>
      </c>
      <c r="Q23" s="81">
        <f t="shared" ref="Q23" si="28">SUM(L23:P23)</f>
        <v>6436.5300000000007</v>
      </c>
      <c r="R23" s="81">
        <f t="shared" si="23"/>
        <v>12873.06</v>
      </c>
      <c r="S23" s="247">
        <f t="shared" si="21"/>
        <v>422.9</v>
      </c>
      <c r="T23" s="47">
        <f>VLOOKUP($A23,'Indicadores Financeiros'!$A$123:$J$280,8,FALSE)</f>
        <v>0.22439999999999999</v>
      </c>
      <c r="U23" s="83">
        <f>ROUND(S23*(1+T23),2)</f>
        <v>517.79999999999995</v>
      </c>
      <c r="V23" s="24">
        <f t="shared" si="6"/>
        <v>16051.8</v>
      </c>
      <c r="W23" s="91">
        <f>V23*('Indicadores Financeiros'!$F$13-F23+1)</f>
        <v>481554</v>
      </c>
      <c r="X23" s="20"/>
      <c r="Y23" s="114">
        <f>IF(AND(C23=680027,E23="posto/dia líder"),ROUND(('Indicadores Financeiros'!$J$91+'Indicadores Financeiros'!$J$92+'Indicadores Financeiros'!$J$96)*'Relatório Custo'!G23*'Relatório Custo'!J23,2),ROUND(IF(E23="posto/dia",(IF(VLOOKUP($C23,'Indicadores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Financeiros'!$J$92)),0)*G23*J23,2))</f>
        <v>5810.42</v>
      </c>
      <c r="Z23" s="43">
        <f>IF(OR(E23="posto/dia",E23="posto/dia líder"),'Indicadores Financeiros'!$J$70,0)</f>
        <v>0.31990000000000002</v>
      </c>
      <c r="AA23" s="41">
        <f>ROUND(Y23*$Z23,2)</f>
        <v>1858.75</v>
      </c>
      <c r="AB23" s="25"/>
      <c r="AC23" s="23">
        <f>IF(E23="posto/dia",ROUND((ROUND(((VLOOKUP($A23,'Indicadores Financeiros'!$A$123:$J$280,9,FALSE)*H23)-ROUND(('Indicadores Financeiros'!$J$91*6%),2))/H23,2)+ROUND('Indicadores Financeiros'!$J$103,2)+ROUND(VLOOKUP($C23,'Indicadores Financeiros'!$A$107:$J$113,9,FALSE)/H23,2)+ROUND((L23*'Indicadores Financeiros'!$J$60/H23),2))*(1+T23),2),0)</f>
        <v>0</v>
      </c>
      <c r="AD23" s="23">
        <f t="shared" si="7"/>
        <v>0.72</v>
      </c>
      <c r="AE23" s="154"/>
      <c r="AF23" s="155"/>
      <c r="AG23" s="155"/>
      <c r="AH23" s="31"/>
      <c r="AI23" s="31"/>
      <c r="AJ23" s="31"/>
      <c r="AK23" s="31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</row>
    <row r="24" spans="1:346" s="26" customFormat="1" ht="48">
      <c r="A24" s="21">
        <v>2</v>
      </c>
      <c r="B24" s="22" t="str">
        <f>VLOOKUP($A24,'Indicadores Financeiros'!$A$123:$J$280,2,FALSE)</f>
        <v>ÁGUAS DE LINDÓIA</v>
      </c>
      <c r="C24" s="4">
        <v>680028</v>
      </c>
      <c r="D24" s="7" t="str">
        <f>VLOOKUP($C24,'Indicadores Financeiros'!$A$107:$J$113,2,FALSE)</f>
        <v>Posto de vigilante diurno - com almocista (repositor/repositora) - 44 horas semanais - segunda a sexta-feira - com uso de arma de fogo</v>
      </c>
      <c r="E24" s="7" t="str">
        <f>VLOOKUP($C24,'Indicadores Financeiros'!$A$107:$J$119,3,FALSE)</f>
        <v>Posto/Dia</v>
      </c>
      <c r="F24" s="4">
        <f>VLOOKUP($A24,'Indicadores Financeiros'!$A$123:$J$280,10,FALSE)</f>
        <v>1</v>
      </c>
      <c r="G24" s="4">
        <f>(VLOOKUP($C24,'Indicadores Financeiros'!$A$107:$J$119,6,FALSE))</f>
        <v>1</v>
      </c>
      <c r="H24" s="244">
        <f>VLOOKUP($C24,'Indicadores Financeiros'!$A$107:$J$119,7,FALSE)</f>
        <v>21</v>
      </c>
      <c r="I24" s="240">
        <f>IF(OR(C24=680018,C24=680023,C24=680028,C24=680021),21,IF(OR(E24="Posto/Dia",E24="Posto/Dia Líder"),INT(VLOOKUP($C24,'Indicadores Financeiros'!$A$107:$J$119,7,FALSE)*G24)+IF(OR(E24="Posto/Dia",E24="Posto/Dia Líder"),1,0),0))</f>
        <v>21</v>
      </c>
      <c r="J24" s="156">
        <v>1</v>
      </c>
      <c r="K24" s="77">
        <f t="shared" si="13"/>
        <v>21</v>
      </c>
      <c r="L24" s="78">
        <f>ROUND((IF(VLOOKUP($C24,'Indicadores Financeiros'!$A$107:$J$119,4,FALSE)="S",'Indicadores Financeiros'!$J$91+'Indicadores Financeiros'!$J$92+'Indicadores Financeiros'!$J$93+'Indicadores Financeiros'!$J$94+IF(E24="posto/dia",'Indicadores Financeiros'!$J$95,0)+IF(E24="posto/hora extra",'Indicadores Financeiros'!$J$85*('Indicadores Financeiros'!$J$91+'Indicadores Financeiros'!$J$92+'Indicadores Financeiros'!$J$93+'Indicadores Financeiros'!$J$94),0),'Indicadores Financeiros'!$J$91+'Indicadores Financeiros'!$J$92+IF(E24="posto/dia líder",'Indicadores Financeiros'!$J$96,0)+IF(E24="posto/hora extra",'Indicadores Financeiros'!$J$85*('Indicadores Financeiros'!$J$91+'Indicadores Financeiros'!$J$92),0))),2)</f>
        <v>2659.7</v>
      </c>
      <c r="M24" s="78">
        <f>ROUND(L24*'Indicadores Financeiros'!$J$62,2)</f>
        <v>1941.32</v>
      </c>
      <c r="N24" s="49">
        <f>IF(OR(E24="posto/dia",E24="posto/dia líder"),ROUND('Indicadores Financeiros'!$J$98+'Indicadores Financeiros'!$J$99+'Indicadores Financeiros'!$J$101+'Indicadores Financeiros'!$J$102+ROUND(('Indicadores Financeiros'!$J$103*'Relatório Custo'!$H24),2)+'Indicadores Financeiros'!$J$100,2)+IF(ROUND((VLOOKUP($A24,'Indicadores Financeiros'!$A$123:$J$280,9,FALSE)*H24)-('Indicadores Financeiros'!$J$91*6%),2)&lt;0,0,ROUND((VLOOKUP($A24,'Indicadores Financeiros'!$A$123:$J$280,9,FALSE)*H24)-('Indicadores Financeiros'!$J$91*6%),2)),IF(E24="posto/hora",IF('Indicadores Financeiros'!$J$91=0,0,ROUND((VLOOKUP($B24,'Indicadores Financeiros'!$B$123:$I$182,8,FALSE)+'Indicadores Financeiros'!$J$103+'Indicadores Financeiros'!$J$86)*$H24,2)),0))</f>
        <v>944.92000000000007</v>
      </c>
      <c r="O24" s="49">
        <f>IF($E24="posto/hora extra",0,IF(OR(E24="posto/dia",E24="posto/dia líder"),VLOOKUP($C24,'Indicadores Financeiros'!$A$107:$J$119,8,FALSE)+VLOOKUP($C24,'Indicadores Financeiros'!$A$107:$J$119,9,FALSE)+VLOOKUP($C24,'Indicadores Financeiros'!$A$107:$J$119,10,FALSE),IF('Indicadores Financeiros'!$J$91=0,0,(VLOOKUP($C24,'Indicadores Financeiros'!$A$107:$J$119,9,FALSE)+VLOOKUP('Relatório Custo'!$C24,'Indicadores Financeiros'!$A$107:$J$119,10,FALSE)+('Indicadores Financeiros'!$J$87*'Relatório Custo'!$H24)))))</f>
        <v>226.39</v>
      </c>
      <c r="P24" s="49">
        <f>ROUND((L24+M24+N24+O24)*VLOOKUP($C24,'Indicadores Financeiros'!$A$107:$M$119,5,FALSE),2)</f>
        <v>789.01</v>
      </c>
      <c r="Q24" s="81">
        <f t="shared" ref="Q24" si="29">SUM(L24:P24)</f>
        <v>6561.34</v>
      </c>
      <c r="R24" s="81">
        <f t="shared" si="23"/>
        <v>6561.34</v>
      </c>
      <c r="S24" s="247">
        <f t="shared" si="21"/>
        <v>312.44</v>
      </c>
      <c r="T24" s="47">
        <f>VLOOKUP($A24,'Indicadores Financeiros'!$A$123:$J$280,8,FALSE)</f>
        <v>0.22439999999999999</v>
      </c>
      <c r="U24" s="83">
        <f t="shared" ref="U24:U28" si="30">ROUND(S24*(1+T24),2)</f>
        <v>382.55</v>
      </c>
      <c r="V24" s="24">
        <f t="shared" si="6"/>
        <v>8033.55</v>
      </c>
      <c r="W24" s="91">
        <f>V24*('Indicadores Financeiros'!$F$13-F24+1)</f>
        <v>241006.5</v>
      </c>
      <c r="X24" s="20"/>
      <c r="Y24" s="114">
        <f>IF(AND(C24=680027,E24="posto/dia líder"),ROUND(('Indicadores Financeiros'!$J$91+'Indicadores Financeiros'!$J$92+'Indicadores Financeiros'!$J$96)*'Relatório Custo'!G24*'Relatório Custo'!J24,2),ROUND(IF(E24="posto/dia",(IF(VLOOKUP($C24,'Indicadores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Financeiros'!$J$92)),0)*G24*J24,2))</f>
        <v>2659.7</v>
      </c>
      <c r="Z24" s="43">
        <f>IF(OR(E24="posto/dia",E24="posto/dia líder"),'Indicadores Financeiros'!$J$70,0)</f>
        <v>0.31990000000000002</v>
      </c>
      <c r="AA24" s="41">
        <f t="shared" ref="AA24:AA28" si="31">ROUND(Y24*$Z24,2)</f>
        <v>850.84</v>
      </c>
      <c r="AB24" s="25"/>
      <c r="AC24" s="23">
        <f>IF(E24="posto/dia",ROUND((ROUND(((VLOOKUP($A24,'Indicadores Financeiros'!$A$123:$J$280,9,FALSE)*H24)-ROUND(('Indicadores Financeiros'!$J$91*6%),2))/H24,2)+ROUND('Indicadores Financeiros'!$J$103,2)+ROUND(VLOOKUP($C24,'Indicadores Financeiros'!$A$107:$J$113,9,FALSE)/H24,2)+ROUND((L24*'Indicadores Financeiros'!$J$60/H24),2))*(1+T24),2),0)</f>
        <v>70.680000000000007</v>
      </c>
      <c r="AD24" s="23">
        <f t="shared" si="7"/>
        <v>0.53</v>
      </c>
      <c r="AE24" s="154"/>
      <c r="AF24" s="155"/>
      <c r="AG24" s="155"/>
      <c r="AH24" s="31"/>
      <c r="AI24" s="31"/>
      <c r="AJ24" s="31"/>
      <c r="AK24" s="31">
        <f>AK23*(1+T23)</f>
        <v>0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</row>
    <row r="25" spans="1:346" s="26" customFormat="1" ht="24">
      <c r="A25" s="21">
        <v>2</v>
      </c>
      <c r="B25" s="22" t="str">
        <f>VLOOKUP($A25,'Indicadores Financeiros'!$A$123:$J$280,2,FALSE)</f>
        <v>ÁGUAS DE LINDÓIA</v>
      </c>
      <c r="C25" s="4">
        <v>680029</v>
      </c>
      <c r="D25" s="7" t="s">
        <v>143</v>
      </c>
      <c r="E25" s="7" t="str">
        <f>VLOOKUP($C25,'Indicadores Financeiros'!$A$107:$J$119,3,FALSE)</f>
        <v>Posto/Hora</v>
      </c>
      <c r="F25" s="4">
        <f>VLOOKUP($A25,'Indicadores Financeiros'!$A$123:$J$280,10,FALSE)</f>
        <v>1</v>
      </c>
      <c r="G25" s="4">
        <f>(VLOOKUP($C25,'Indicadores Financeiros'!$A$107:$J$119,6,FALSE))</f>
        <v>1</v>
      </c>
      <c r="H25" s="244">
        <f>VLOOKUP($C25,'Indicadores Financeiros'!$A$107:$J$119,7,FALSE)</f>
        <v>21</v>
      </c>
      <c r="I25" s="240">
        <f>IF(OR(C25=680018,C25=680023,C25=680028,C25=680021),21,IF(OR(E25="Posto/Dia",E25="Posto/Dia Líder"),INT(VLOOKUP($C25,'Indicadores Financeiros'!$A$107:$J$119,7,FALSE)*G25)+IF(OR(E25="Posto/Dia",E25="Posto/Dia Líder"),1,0),0))</f>
        <v>0</v>
      </c>
      <c r="J25" s="156">
        <v>300</v>
      </c>
      <c r="K25" s="77">
        <f t="shared" si="13"/>
        <v>300</v>
      </c>
      <c r="L25" s="78">
        <f>ROUND((IF(VLOOKUP($C25,'Indicadores Financeiros'!$A$107:$J$119,4,FALSE)="S",'Indicadores Financeiros'!$J$91+'Indicadores Financeiros'!$J$92+'Indicadores Financeiros'!$J$93+'Indicadores Financeiros'!$J$94+IF(E25="posto/dia",'Indicadores Financeiros'!$J$95,0)+IF(E25="posto/hora extra",'Indicadores Financeiros'!$J$85*('Indicadores Financeiros'!$J$91+'Indicadores Financeiros'!$J$92+'Indicadores Financeiros'!$J$93+'Indicadores Financeiros'!$J$94),0),'Indicadores Financeiros'!$J$91+'Indicadores Financeiros'!$J$92+IF(E25="posto/dia líder",'Indicadores Financeiros'!$J$96,0)+IF(E25="posto/hora extra",'Indicadores Financeiros'!$J$85*('Indicadores Financeiros'!$J$91+'Indicadores Financeiros'!$J$92),0))),2)</f>
        <v>2659.7</v>
      </c>
      <c r="M25" s="78">
        <f>ROUND(L25*'Indicadores Financeiros'!$J$62,2)</f>
        <v>1941.32</v>
      </c>
      <c r="N25" s="49">
        <f>IF(OR(E25="posto/dia",E25="posto/dia líder"),ROUND('Indicadores Financeiros'!$J$98+'Indicadores Financeiros'!$J$99+'Indicadores Financeiros'!$J$101+'Indicadores Financeiros'!$J$102+ROUND(('Indicadores Financeiros'!$J$103*'Relatório Custo'!$H25),2)+'Indicadores Financeiros'!$J$100,2)+IF(ROUND((VLOOKUP($A25,'Indicadores Financeiros'!$A$123:$J$280,9,FALSE)*H25)-('Indicadores Financeiros'!$J$91*6%),2)&lt;0,0,ROUND((VLOOKUP($A25,'Indicadores Financeiros'!$A$123:$J$280,9,FALSE)*H25)-('Indicadores Financeiros'!$J$91*6%),2)),IF(E25="posto/hora",IF('Indicadores Financeiros'!$J$91=0,0,ROUND((VLOOKUP($B25,'Indicadores Financeiros'!$B$123:$I$182,8,FALSE)+'Indicadores Financeiros'!$J$103+'Indicadores Financeiros'!$J$86)*$H25,2)),0))</f>
        <v>999.18</v>
      </c>
      <c r="O25" s="49">
        <f>IF($E25="posto/hora extra",0,IF(OR(E25="posto/dia",E25="posto/dia líder"),VLOOKUP($C25,'Indicadores Financeiros'!$A$107:$J$119,8,FALSE)+VLOOKUP($C25,'Indicadores Financeiros'!$A$107:$J$119,9,FALSE)+VLOOKUP($C25,'Indicadores Financeiros'!$A$107:$J$119,10,FALSE),IF('Indicadores Financeiros'!$J$91=0,0,(VLOOKUP($C25,'Indicadores Financeiros'!$A$107:$J$119,9,FALSE)+VLOOKUP('Relatório Custo'!$C25,'Indicadores Financeiros'!$A$107:$J$119,10,FALSE)+('Indicadores Financeiros'!$J$87*'Relatório Custo'!$H25)))))</f>
        <v>247.22</v>
      </c>
      <c r="P25" s="49">
        <f>ROUND((L25+M25+N25+O25)*VLOOKUP($C25,'Indicadores Financeiros'!$A$107:$M$119,5,FALSE),2)</f>
        <v>0</v>
      </c>
      <c r="Q25" s="81">
        <f t="shared" ref="Q25:Q28" si="32">SUM(L25:P25)</f>
        <v>5847.42</v>
      </c>
      <c r="R25" s="81">
        <f t="shared" si="23"/>
        <v>5847.42</v>
      </c>
      <c r="S25" s="247">
        <f t="shared" si="21"/>
        <v>26.58</v>
      </c>
      <c r="T25" s="47">
        <f>VLOOKUP($A25,'Indicadores Financeiros'!$A$123:$J$280,8,FALSE)</f>
        <v>0.22439999999999999</v>
      </c>
      <c r="U25" s="83">
        <f t="shared" si="30"/>
        <v>32.54</v>
      </c>
      <c r="V25" s="24">
        <f t="shared" si="6"/>
        <v>9762</v>
      </c>
      <c r="W25" s="91">
        <f>V25*('Indicadores Financeiros'!$F$13-F25+1)</f>
        <v>292860</v>
      </c>
      <c r="X25" s="20"/>
      <c r="Y25" s="114">
        <f>IF(AND(C25=680027,E25="posto/dia líder"),ROUND(('Indicadores Financeiros'!$J$91+'Indicadores Financeiros'!$J$92+'Indicadores Financeiros'!$J$96)*'Relatório Custo'!G25*'Relatório Custo'!J25,2),ROUND(IF(E25="posto/dia",(IF(VLOOKUP($C25,'Indicadores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Financeiros'!$J$92)),0)*G25*J25,2))</f>
        <v>0</v>
      </c>
      <c r="Z25" s="43">
        <f>IF(OR(E25="posto/dia",E25="posto/dia líder"),'Indicadores Financeiros'!$J$70,0)</f>
        <v>0</v>
      </c>
      <c r="AA25" s="41">
        <f t="shared" si="31"/>
        <v>0</v>
      </c>
      <c r="AB25" s="25"/>
      <c r="AC25" s="23">
        <f>IF(E25="posto/dia",ROUND((ROUND(((VLOOKUP($A25,'Indicadores Financeiros'!$A$123:$J$280,9,FALSE)*H25)-ROUND(('Indicadores Financeiros'!$J$91*6%),2))/H25,2)+ROUND('Indicadores Financeiros'!$J$103,2)+ROUND(VLOOKUP($C25,'Indicadores Financeiros'!$A$107:$J$113,9,FALSE)/H25,2)+ROUND((L25*'Indicadores Financeiros'!$J$60/H25),2))*(1+T25),2),0)</f>
        <v>0</v>
      </c>
      <c r="AD25" s="23">
        <f t="shared" si="7"/>
        <v>0</v>
      </c>
      <c r="AE25" s="154"/>
      <c r="AF25" s="155"/>
      <c r="AG25" s="155"/>
      <c r="AH25" s="31"/>
      <c r="AI25" s="31"/>
      <c r="AJ25" s="31"/>
      <c r="AK25" s="31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</row>
    <row r="26" spans="1:346" s="26" customFormat="1" ht="24">
      <c r="A26" s="21">
        <v>2</v>
      </c>
      <c r="B26" s="22" t="str">
        <f>VLOOKUP($A26,'Indicadores Financeiros'!$A$123:$J$280,2,FALSE)</f>
        <v>ÁGUAS DE LINDÓIA</v>
      </c>
      <c r="C26" s="4">
        <v>680030</v>
      </c>
      <c r="D26" s="7" t="s">
        <v>145</v>
      </c>
      <c r="E26" s="7" t="str">
        <f>VLOOKUP($C26,'Indicadores Financeiros'!$A$107:$J$119,3,FALSE)</f>
        <v>Posto/Hora</v>
      </c>
      <c r="F26" s="4">
        <f>VLOOKUP($A26,'Indicadores Financeiros'!$A$123:$J$280,10,FALSE)</f>
        <v>1</v>
      </c>
      <c r="G26" s="4">
        <f>(VLOOKUP($C26,'Indicadores Financeiros'!$A$107:$J$119,6,FALSE))</f>
        <v>1</v>
      </c>
      <c r="H26" s="244">
        <f>VLOOKUP($C26,'Indicadores Financeiros'!$A$107:$J$119,7,FALSE)</f>
        <v>21</v>
      </c>
      <c r="I26" s="240">
        <f>IF(OR(C26=680018,C26=680023,C26=680028,C26=680021),21,IF(OR(E26="Posto/Dia",E26="Posto/Dia Líder"),INT(VLOOKUP($C26,'Indicadores Financeiros'!$A$107:$J$119,7,FALSE)*G26)+IF(OR(E26="Posto/Dia",E26="Posto/Dia Líder"),1,0),0))</f>
        <v>0</v>
      </c>
      <c r="J26" s="156">
        <v>150</v>
      </c>
      <c r="K26" s="77">
        <f t="shared" si="13"/>
        <v>150</v>
      </c>
      <c r="L26" s="78">
        <f>ROUND((IF(VLOOKUP($C26,'Indicadores Financeiros'!$A$107:$J$119,4,FALSE)="S",'Indicadores Financeiros'!$J$91+'Indicadores Financeiros'!$J$92+'Indicadores Financeiros'!$J$93+'Indicadores Financeiros'!$J$94+IF(E26="posto/dia",'Indicadores Financeiros'!$J$95,0)+IF(E26="posto/hora extra",'Indicadores Financeiros'!$J$85*('Indicadores Financeiros'!$J$91+'Indicadores Financeiros'!$J$92+'Indicadores Financeiros'!$J$93+'Indicadores Financeiros'!$J$94),0),'Indicadores Financeiros'!$J$91+'Indicadores Financeiros'!$J$92+IF(E26="posto/dia líder",'Indicadores Financeiros'!$J$96,0)+IF(E26="posto/hora extra",'Indicadores Financeiros'!$J$85*('Indicadores Financeiros'!$J$91+'Indicadores Financeiros'!$J$92),0))),2)</f>
        <v>3138.11</v>
      </c>
      <c r="M26" s="78">
        <f>ROUND(L26*'Indicadores Financeiros'!$J$62,2)</f>
        <v>2290.5100000000002</v>
      </c>
      <c r="N26" s="49">
        <f>IF(OR(E26="posto/dia",E26="posto/dia líder"),ROUND('Indicadores Financeiros'!$J$98+'Indicadores Financeiros'!$J$99+'Indicadores Financeiros'!$J$101+'Indicadores Financeiros'!$J$102+ROUND(('Indicadores Financeiros'!$J$103*'Relatório Custo'!$H26),2)+'Indicadores Financeiros'!$J$100,2)+IF(ROUND((VLOOKUP($A26,'Indicadores Financeiros'!$A$123:$J$280,9,FALSE)*H26)-('Indicadores Financeiros'!$J$91*6%),2)&lt;0,0,ROUND((VLOOKUP($A26,'Indicadores Financeiros'!$A$123:$J$280,9,FALSE)*H26)-('Indicadores Financeiros'!$J$91*6%),2)),IF(E26="posto/hora",IF('Indicadores Financeiros'!$J$91=0,0,ROUND((VLOOKUP($B26,'Indicadores Financeiros'!$B$123:$I$182,8,FALSE)+'Indicadores Financeiros'!$J$103+'Indicadores Financeiros'!$J$86)*$H26,2)),0))</f>
        <v>999.18</v>
      </c>
      <c r="O26" s="49">
        <f>IF($E26="posto/hora extra",0,IF(OR(E26="posto/dia",E26="posto/dia líder"),VLOOKUP($C26,'Indicadores Financeiros'!$A$107:$J$119,8,FALSE)+VLOOKUP($C26,'Indicadores Financeiros'!$A$107:$J$119,9,FALSE)+VLOOKUP($C26,'Indicadores Financeiros'!$A$107:$J$119,10,FALSE),IF('Indicadores Financeiros'!$J$91=0,0,(VLOOKUP($C26,'Indicadores Financeiros'!$A$107:$J$119,9,FALSE)+VLOOKUP('Relatório Custo'!$C26,'Indicadores Financeiros'!$A$107:$J$119,10,FALSE)+('Indicadores Financeiros'!$J$87*'Relatório Custo'!$H26)))))</f>
        <v>289.89999999999998</v>
      </c>
      <c r="P26" s="49">
        <f>ROUND((L26+M26+N26+O26)*VLOOKUP($C26,'Indicadores Financeiros'!$A$107:$M$119,5,FALSE),2)</f>
        <v>0</v>
      </c>
      <c r="Q26" s="81">
        <f t="shared" si="32"/>
        <v>6717.7000000000007</v>
      </c>
      <c r="R26" s="81">
        <f t="shared" si="23"/>
        <v>6717.7</v>
      </c>
      <c r="S26" s="247">
        <f t="shared" si="21"/>
        <v>30.54</v>
      </c>
      <c r="T26" s="47">
        <f>VLOOKUP($A26,'Indicadores Financeiros'!$A$123:$J$280,8,FALSE)</f>
        <v>0.22439999999999999</v>
      </c>
      <c r="U26" s="83">
        <f t="shared" si="30"/>
        <v>37.39</v>
      </c>
      <c r="V26" s="24">
        <f t="shared" si="6"/>
        <v>5608.5</v>
      </c>
      <c r="W26" s="91">
        <f>V26*('Indicadores Financeiros'!$F$13-F26+1)</f>
        <v>168255</v>
      </c>
      <c r="X26" s="20"/>
      <c r="Y26" s="114">
        <f>IF(AND(C26=680027,E26="posto/dia líder"),ROUND(('Indicadores Financeiros'!$J$91+'Indicadores Financeiros'!$J$92+'Indicadores Financeiros'!$J$96)*'Relatório Custo'!G26*'Relatório Custo'!J26,2),ROUND(IF(E26="posto/dia",(IF(VLOOKUP($C26,'Indicadores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Financeiros'!$J$92)),0)*G26*J26,2))</f>
        <v>0</v>
      </c>
      <c r="Z26" s="43">
        <f>IF(OR(E26="posto/dia",E26="posto/dia líder"),'Indicadores Financeiros'!$J$70,0)</f>
        <v>0</v>
      </c>
      <c r="AA26" s="41">
        <f t="shared" si="31"/>
        <v>0</v>
      </c>
      <c r="AB26" s="25"/>
      <c r="AC26" s="23">
        <f>IF(E26="posto/dia",ROUND((ROUND(((VLOOKUP($A26,'Indicadores Financeiros'!$A$123:$J$280,9,FALSE)*H26)-ROUND(('Indicadores Financeiros'!$J$91*6%),2))/H26,2)+ROUND('Indicadores Financeiros'!$J$103,2)+ROUND(VLOOKUP($C26,'Indicadores Financeiros'!$A$107:$J$113,9,FALSE)/H26,2)+ROUND((L26*'Indicadores Financeiros'!$J$60/H26),2))*(1+T26),2),0)</f>
        <v>0</v>
      </c>
      <c r="AD26" s="23">
        <f>IF(OR(E26="Posto/Dia",E26="Posto/Dia Líder"),ROUND(U26/IF(OR(C26=680010,C26=680023),600,720),2),0)</f>
        <v>0</v>
      </c>
      <c r="AE26" s="154"/>
      <c r="AF26" s="155"/>
      <c r="AG26" s="155"/>
      <c r="AH26" s="31"/>
      <c r="AI26" s="31"/>
      <c r="AJ26" s="31"/>
      <c r="AK26" s="31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</row>
    <row r="27" spans="1:346" s="26" customFormat="1" ht="24">
      <c r="A27" s="21">
        <v>2</v>
      </c>
      <c r="B27" s="22" t="str">
        <f>VLOOKUP($A27,'Indicadores Financeiros'!$A$123:$J$280,2,FALSE)</f>
        <v>ÁGUAS DE LINDÓIA</v>
      </c>
      <c r="C27" s="4">
        <v>680031</v>
      </c>
      <c r="D27" s="7" t="s">
        <v>147</v>
      </c>
      <c r="E27" s="7" t="str">
        <f>VLOOKUP($C27,'Indicadores Financeiros'!$A$107:$J$119,3,FALSE)</f>
        <v>Posto/Hora extra</v>
      </c>
      <c r="F27" s="4">
        <f>VLOOKUP($A27,'Indicadores Financeiros'!$A$123:$J$280,10,FALSE)</f>
        <v>1</v>
      </c>
      <c r="G27" s="4">
        <f>(VLOOKUP($C27,'Indicadores Financeiros'!$A$107:$J$119,6,FALSE))</f>
        <v>1</v>
      </c>
      <c r="H27" s="244">
        <f>VLOOKUP($C27,'Indicadores Financeiros'!$A$107:$J$119,7,FALSE)</f>
        <v>21</v>
      </c>
      <c r="I27" s="240">
        <f>IF(OR(C27=680018,C27=680023,C27=680028,C27=680021),21,IF(OR(E27="Posto/Dia",E27="Posto/Dia Líder"),INT(VLOOKUP($C27,'Indicadores Financeiros'!$A$107:$J$119,7,FALSE)*G27)+IF(OR(E27="Posto/Dia",E27="Posto/Dia Líder"),1,0),0))</f>
        <v>0</v>
      </c>
      <c r="J27" s="156">
        <v>100</v>
      </c>
      <c r="K27" s="77">
        <f t="shared" si="13"/>
        <v>100</v>
      </c>
      <c r="L27" s="78">
        <f>ROUND((IF(VLOOKUP($C27,'Indicadores Financeiros'!$A$107:$J$119,4,FALSE)="S",'Indicadores Financeiros'!$J$91+'Indicadores Financeiros'!$J$92+'Indicadores Financeiros'!$J$93+'Indicadores Financeiros'!$J$94+IF(E27="posto/dia",'Indicadores Financeiros'!$J$95,0)+IF(E27="posto/hora extra",'Indicadores Financeiros'!$J$85*('Indicadores Financeiros'!$J$91+'Indicadores Financeiros'!$J$92+'Indicadores Financeiros'!$J$93+'Indicadores Financeiros'!$J$94),0),'Indicadores Financeiros'!$J$91+'Indicadores Financeiros'!$J$92+IF(E27="posto/dia líder",'Indicadores Financeiros'!$J$96,0)+IF(E27="posto/hora extra",'Indicadores Financeiros'!$J$85*('Indicadores Financeiros'!$J$91+'Indicadores Financeiros'!$J$92),0))),2)</f>
        <v>4255.5200000000004</v>
      </c>
      <c r="M27" s="78">
        <f>ROUND(L27*'Indicadores Financeiros'!$J$62,2)</f>
        <v>3106.1</v>
      </c>
      <c r="N27" s="49">
        <f>IF(OR(E27="posto/dia",E27="posto/dia líder"),ROUND('Indicadores Financeiros'!$J$98+'Indicadores Financeiros'!$J$99+'Indicadores Financeiros'!$J$101+'Indicadores Financeiros'!$J$102+ROUND(('Indicadores Financeiros'!$J$103*'Relatório Custo'!$H27),2)+'Indicadores Financeiros'!$J$100,2)+IF(ROUND((VLOOKUP($A27,'Indicadores Financeiros'!$A$123:$J$280,9,FALSE)*H27)-('Indicadores Financeiros'!$J$91*6%),2)&lt;0,0,ROUND((VLOOKUP($A27,'Indicadores Financeiros'!$A$123:$J$280,9,FALSE)*H27)-('Indicadores Financeiros'!$J$91*6%),2)),IF(E27="posto/hora",IF('Indicadores Financeiros'!$J$91=0,0,ROUND((VLOOKUP($B27,'Indicadores Financeiros'!$B$123:$I$182,8,FALSE)+'Indicadores Financeiros'!$J$103+'Indicadores Financeiros'!$J$86)*$H27,2)),0))</f>
        <v>0</v>
      </c>
      <c r="O27" s="49">
        <f>IF($E27="posto/hora extra",0,IF(OR(E27="posto/dia",E27="posto/dia líder"),VLOOKUP($C27,'Indicadores Financeiros'!$A$107:$J$119,8,FALSE)+VLOOKUP($C27,'Indicadores Financeiros'!$A$107:$J$119,9,FALSE)+VLOOKUP($C27,'Indicadores Financeiros'!$A$107:$J$119,10,FALSE),IF('Indicadores Financeiros'!$J$91=0,0,(VLOOKUP($C27,'Indicadores Financeiros'!$A$107:$J$119,9,FALSE)+VLOOKUP('Relatório Custo'!$C27,'Indicadores Financeiros'!$A$107:$J$119,10,FALSE)+('Indicadores Financeiros'!$J$87*'Relatório Custo'!$H27)))))</f>
        <v>0</v>
      </c>
      <c r="P27" s="49">
        <f>ROUND((L27+M27+N27+O27)*VLOOKUP($C27,'Indicadores Financeiros'!$A$107:$M$119,5,FALSE),2)</f>
        <v>0</v>
      </c>
      <c r="Q27" s="81">
        <f t="shared" si="32"/>
        <v>7361.6200000000008</v>
      </c>
      <c r="R27" s="81">
        <f t="shared" si="23"/>
        <v>7361.62</v>
      </c>
      <c r="S27" s="247">
        <f t="shared" si="21"/>
        <v>33.46</v>
      </c>
      <c r="T27" s="47">
        <f>VLOOKUP($A27,'Indicadores Financeiros'!$A$123:$J$280,8,FALSE)</f>
        <v>0.22439999999999999</v>
      </c>
      <c r="U27" s="83">
        <f t="shared" si="30"/>
        <v>40.97</v>
      </c>
      <c r="V27" s="24">
        <f t="shared" si="6"/>
        <v>4097</v>
      </c>
      <c r="W27" s="91">
        <f>V27*('Indicadores Financeiros'!$F$13-F27+1)</f>
        <v>122910</v>
      </c>
      <c r="X27" s="20"/>
      <c r="Y27" s="114">
        <f>IF(AND(C27=680027,E27="posto/dia líder"),ROUND(('Indicadores Financeiros'!$J$91+'Indicadores Financeiros'!$J$92+'Indicadores Financeiros'!$J$96)*'Relatório Custo'!G27*'Relatório Custo'!J27,2),ROUND(IF(E27="posto/dia",(IF(VLOOKUP($C27,'Indicadores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Financeiros'!$J$92)),0)*G27*J27,2))</f>
        <v>0</v>
      </c>
      <c r="Z27" s="43">
        <f>IF(OR(E27="posto/dia",E27="posto/dia líder"),'Indicadores Financeiros'!$J$70,0)</f>
        <v>0</v>
      </c>
      <c r="AA27" s="41">
        <f t="shared" si="31"/>
        <v>0</v>
      </c>
      <c r="AB27" s="25"/>
      <c r="AC27" s="23">
        <f>IF(E27="posto/dia",ROUND((ROUND(((VLOOKUP($A27,'Indicadores Financeiros'!$A$123:$J$280,9,FALSE)*H27)-ROUND(('Indicadores Financeiros'!$J$91*6%),2))/H27,2)+ROUND('Indicadores Financeiros'!$J$103,2)+ROUND(VLOOKUP($C27,'Indicadores Financeiros'!$A$107:$J$113,9,FALSE)/H27,2)+ROUND((L27*'Indicadores Financeiros'!$J$60/H27),2))*(1+T27),2),0)</f>
        <v>0</v>
      </c>
      <c r="AD27" s="23">
        <f t="shared" si="7"/>
        <v>0</v>
      </c>
      <c r="AE27" s="154"/>
      <c r="AF27" s="155"/>
      <c r="AG27" s="155"/>
      <c r="AH27" s="31"/>
      <c r="AI27" s="31"/>
      <c r="AJ27" s="31"/>
      <c r="AK27" s="31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</row>
    <row r="28" spans="1:346" s="26" customFormat="1" ht="24">
      <c r="A28" s="21">
        <v>2</v>
      </c>
      <c r="B28" s="22" t="str">
        <f>VLOOKUP($A28,'Indicadores Financeiros'!$A$123:$J$280,2,FALSE)</f>
        <v>ÁGUAS DE LINDÓIA</v>
      </c>
      <c r="C28" s="4">
        <v>680032</v>
      </c>
      <c r="D28" s="7" t="s">
        <v>149</v>
      </c>
      <c r="E28" s="7" t="str">
        <f>VLOOKUP($C28,'Indicadores Financeiros'!$A$107:$J$119,3,FALSE)</f>
        <v>Posto/Hora extra</v>
      </c>
      <c r="F28" s="4">
        <f>VLOOKUP($A28,'Indicadores Financeiros'!$A$123:$J$280,10,FALSE)</f>
        <v>1</v>
      </c>
      <c r="G28" s="4">
        <f>(VLOOKUP($C28,'Indicadores Financeiros'!$A$107:$J$119,6,FALSE))</f>
        <v>1</v>
      </c>
      <c r="H28" s="244">
        <f>VLOOKUP($C28,'Indicadores Financeiros'!$A$107:$J$119,7,FALSE)</f>
        <v>21</v>
      </c>
      <c r="I28" s="240">
        <f>IF(OR(C28=680018,C28=680023,C28=680028,C28=680021),21,IF(OR(E28="Posto/Dia",E28="Posto/Dia Líder"),INT(VLOOKUP($C28,'Indicadores Financeiros'!$A$107:$J$119,7,FALSE)*G28)+IF(OR(E28="Posto/Dia",E28="Posto/Dia Líder"),1,0),0))</f>
        <v>0</v>
      </c>
      <c r="J28" s="156">
        <v>50</v>
      </c>
      <c r="K28" s="77">
        <f t="shared" si="13"/>
        <v>50</v>
      </c>
      <c r="L28" s="78">
        <f>ROUND((IF(VLOOKUP($C28,'Indicadores Financeiros'!$A$107:$J$119,4,FALSE)="S",'Indicadores Financeiros'!$J$91+'Indicadores Financeiros'!$J$92+'Indicadores Financeiros'!$J$93+'Indicadores Financeiros'!$J$94+IF(E28="posto/dia",'Indicadores Financeiros'!$J$95,0)+IF(E28="posto/hora extra",'Indicadores Financeiros'!$J$85*('Indicadores Financeiros'!$J$91+'Indicadores Financeiros'!$J$92+'Indicadores Financeiros'!$J$93+'Indicadores Financeiros'!$J$94),0),'Indicadores Financeiros'!$J$91+'Indicadores Financeiros'!$J$92+IF(E28="posto/dia líder",'Indicadores Financeiros'!$J$96,0)+IF(E28="posto/hora extra",'Indicadores Financeiros'!$J$85*('Indicadores Financeiros'!$J$91+'Indicadores Financeiros'!$J$92),0))),2)</f>
        <v>5020.9799999999996</v>
      </c>
      <c r="M28" s="78">
        <f>ROUND(L28*'Indicadores Financeiros'!$J$62,2)</f>
        <v>3664.81</v>
      </c>
      <c r="N28" s="49">
        <f>IF(OR(E28="posto/dia",E28="posto/dia líder"),ROUND('Indicadores Financeiros'!$J$98+'Indicadores Financeiros'!$J$99+'Indicadores Financeiros'!$J$101+'Indicadores Financeiros'!$J$102+ROUND(('Indicadores Financeiros'!$J$103*'Relatório Custo'!$H28),2)+'Indicadores Financeiros'!$J$100,2)+IF(ROUND((VLOOKUP($A28,'Indicadores Financeiros'!$A$123:$J$280,9,FALSE)*H28)-('Indicadores Financeiros'!$J$91*6%),2)&lt;0,0,ROUND((VLOOKUP($A28,'Indicadores Financeiros'!$A$123:$J$280,9,FALSE)*H28)-('Indicadores Financeiros'!$J$91*6%),2)),IF(E28="posto/hora",IF('Indicadores Financeiros'!$J$91=0,0,ROUND((VLOOKUP($B28,'Indicadores Financeiros'!$B$123:$I$182,8,FALSE)+'Indicadores Financeiros'!$J$103+'Indicadores Financeiros'!$J$86)*$H28,2)),0))</f>
        <v>0</v>
      </c>
      <c r="O28" s="49">
        <f>IF($E28="posto/hora extra",0,IF(OR(E28="posto/dia",E28="posto/dia líder"),VLOOKUP($C28,'Indicadores Financeiros'!$A$107:$J$119,8,FALSE)+VLOOKUP($C28,'Indicadores Financeiros'!$A$107:$J$119,9,FALSE)+VLOOKUP($C28,'Indicadores Financeiros'!$A$107:$J$119,10,FALSE),IF('Indicadores Financeiros'!$J$91=0,0,(VLOOKUP($C28,'Indicadores Financeiros'!$A$107:$J$119,9,FALSE)+VLOOKUP('Relatório Custo'!$C28,'Indicadores Financeiros'!$A$107:$J$119,10,FALSE)+('Indicadores Financeiros'!$J$87*'Relatório Custo'!$H28)))))</f>
        <v>0</v>
      </c>
      <c r="P28" s="49">
        <f>ROUND((L28+M28+N28+O28)*VLOOKUP($C28,'Indicadores Financeiros'!$A$107:$M$119,5,FALSE),2)</f>
        <v>0</v>
      </c>
      <c r="Q28" s="81">
        <f t="shared" si="32"/>
        <v>8685.7899999999991</v>
      </c>
      <c r="R28" s="81">
        <f t="shared" si="23"/>
        <v>8685.7900000000009</v>
      </c>
      <c r="S28" s="247">
        <f t="shared" si="21"/>
        <v>39.479999999999997</v>
      </c>
      <c r="T28" s="47">
        <f>VLOOKUP($A28,'Indicadores Financeiros'!$A$123:$J$280,8,FALSE)</f>
        <v>0.22439999999999999</v>
      </c>
      <c r="U28" s="83">
        <f t="shared" si="30"/>
        <v>48.34</v>
      </c>
      <c r="V28" s="24">
        <f t="shared" si="6"/>
        <v>2417</v>
      </c>
      <c r="W28" s="91">
        <f>V28*('Indicadores Financeiros'!$F$13-F28+1)</f>
        <v>72510</v>
      </c>
      <c r="X28" s="20"/>
      <c r="Y28" s="114">
        <f>IF(AND(C28=680027,E28="posto/dia líder"),ROUND(('Indicadores Financeiros'!$J$91+'Indicadores Financeiros'!$J$92+'Indicadores Financeiros'!$J$96)*'Relatório Custo'!G28*'Relatório Custo'!J28,2),ROUND(IF(E28="posto/dia",(IF(VLOOKUP($C28,'Indicadores Financeiros'!$A$107:$J$113,4,FALSE)="S",'Indicadores Financeiros'!$J$91+'Indicadores Financeiros'!$J$92+'Indicadores Financeiros'!$J$93+'Indicadores Financeiros'!$J$94+'Indicadores Financeiros'!$J$95,'Indicadores Financeiros'!$J$91+'Indicadores Financeiros'!$J$92)),0)*G28*J28,2))</f>
        <v>0</v>
      </c>
      <c r="Z28" s="43">
        <f>IF(OR(E28="posto/dia",E28="posto/dia líder"),'Indicadores Financeiros'!$J$70,0)</f>
        <v>0</v>
      </c>
      <c r="AA28" s="41">
        <f t="shared" si="31"/>
        <v>0</v>
      </c>
      <c r="AB28" s="25"/>
      <c r="AC28" s="23">
        <f>IF(E28="posto/dia",ROUND((ROUND(((VLOOKUP($A28,'Indicadores Financeiros'!$A$123:$J$280,9,FALSE)*H28)-ROUND(('Indicadores Financeiros'!$J$91*6%),2))/H28,2)+ROUND('Indicadores Financeiros'!$J$103,2)+ROUND(VLOOKUP($C28,'Indicadores Financeiros'!$A$107:$J$113,9,FALSE)/H28,2)+ROUND((L28*'Indicadores Financeiros'!$J$60/H28),2))*(1+T28),2),0)</f>
        <v>0</v>
      </c>
      <c r="AD28" s="23">
        <f t="shared" si="7"/>
        <v>0</v>
      </c>
      <c r="AE28" s="154"/>
      <c r="AF28" s="155"/>
      <c r="AG28" s="155"/>
      <c r="AH28" s="31"/>
      <c r="AI28" s="31"/>
      <c r="AJ28" s="31"/>
      <c r="AK28" s="31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</row>
    <row r="29" spans="1:346" s="26" customFormat="1">
      <c r="A29" s="21"/>
      <c r="B29" s="22"/>
      <c r="C29" s="4"/>
      <c r="D29" s="7"/>
      <c r="E29" s="7"/>
      <c r="F29" s="4"/>
      <c r="G29" s="4"/>
      <c r="H29" s="4"/>
      <c r="I29" s="77"/>
      <c r="J29" s="156"/>
      <c r="K29" s="77"/>
      <c r="L29" s="78"/>
      <c r="M29" s="78"/>
      <c r="N29" s="49"/>
      <c r="O29" s="49" t="e">
        <f>IF($E29="posto/hora extra",0,IF(OR(E29="posto/dia",E29="posto/dia líder"),VLOOKUP($C29,'Indicadores Financeiros'!$A$107:$J$119,8,FALSE)+VLOOKUP($C29,'Indicadores Financeiros'!$A$107:$J$119,9,FALSE)+VLOOKUP($C29,'Indicadores Financeiros'!$A$107:$J$119,10,FALSE),IF('Indicadores Financeiros'!$J$91=0,0,(VLOOKUP($C29,'Indicadores Financeiros'!$A$107:$J$119,9,FALSE)+VLOOKUP('Relatório Custo'!$C29,'Indicadores Financeiros'!$A$107:$J$119,10,FALSE)+('Indicadores Financeiros'!$J$87*'Relatório Custo'!$H29)))))</f>
        <v>#N/A</v>
      </c>
      <c r="P29" s="49"/>
      <c r="Q29" s="81"/>
      <c r="R29" s="81"/>
      <c r="S29" s="82"/>
      <c r="T29" s="47"/>
      <c r="U29" s="83"/>
      <c r="V29" s="24"/>
      <c r="W29" s="91"/>
      <c r="X29" s="20"/>
      <c r="Y29" s="114"/>
      <c r="Z29" s="43"/>
      <c r="AA29" s="41"/>
      <c r="AB29" s="25"/>
      <c r="AC29" s="23"/>
      <c r="AD29" s="23"/>
      <c r="AE29" s="154"/>
      <c r="AF29" s="155"/>
      <c r="AG29" s="155"/>
      <c r="AH29" s="31"/>
      <c r="AI29" s="31"/>
      <c r="AJ29" s="31"/>
      <c r="AK29" s="31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</row>
    <row r="30" spans="1:346" s="26" customFormat="1">
      <c r="A30" s="21"/>
      <c r="B30" s="22"/>
      <c r="C30" s="4"/>
      <c r="D30" s="7"/>
      <c r="E30" s="7"/>
      <c r="F30" s="4"/>
      <c r="G30" s="4"/>
      <c r="H30" s="4"/>
      <c r="I30" s="77"/>
      <c r="J30" s="156"/>
      <c r="K30" s="77"/>
      <c r="L30" s="78"/>
      <c r="M30" s="78"/>
      <c r="N30" s="49"/>
      <c r="O30" s="49" t="e">
        <f>IF($E30="posto/hora extra",0,IF(OR(E30="posto/dia",E30="posto/dia líder"),VLOOKUP($C30,'Indicadores Financeiros'!$A$107:$J$119,8,FALSE)+VLOOKUP($C30,'Indicadores Financeiros'!$A$107:$J$119,9,FALSE)+VLOOKUP($C30,'Indicadores Financeiros'!$A$107:$J$119,10,FALSE),IF('Indicadores Financeiros'!$J$91=0,0,(VLOOKUP($C30,'Indicadores Financeiros'!$A$107:$J$119,9,FALSE)+VLOOKUP('Relatório Custo'!$C30,'Indicadores Financeiros'!$A$107:$J$119,10,FALSE)+('Indicadores Financeiros'!$J$87*'Relatório Custo'!$H30)))))</f>
        <v>#N/A</v>
      </c>
      <c r="P30" s="49"/>
      <c r="Q30" s="81"/>
      <c r="R30" s="81"/>
      <c r="S30" s="82"/>
      <c r="T30" s="47"/>
      <c r="U30" s="83"/>
      <c r="V30" s="24"/>
      <c r="W30" s="91"/>
      <c r="X30" s="20"/>
      <c r="Y30" s="114"/>
      <c r="Z30" s="43"/>
      <c r="AA30" s="41"/>
      <c r="AB30" s="25"/>
      <c r="AC30" s="23"/>
      <c r="AD30" s="23"/>
      <c r="AE30" s="154"/>
      <c r="AF30" s="155"/>
      <c r="AG30" s="155"/>
      <c r="AH30" s="31"/>
      <c r="AI30" s="31"/>
      <c r="AJ30" s="31"/>
      <c r="AK30" s="31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</row>
    <row r="31" spans="1:346" s="26" customFormat="1">
      <c r="A31" s="21"/>
      <c r="B31" s="22"/>
      <c r="C31" s="4"/>
      <c r="D31" s="7"/>
      <c r="E31" s="7"/>
      <c r="F31" s="4"/>
      <c r="G31" s="4"/>
      <c r="H31" s="4"/>
      <c r="I31" s="77"/>
      <c r="J31" s="156"/>
      <c r="K31" s="77"/>
      <c r="L31" s="78"/>
      <c r="M31" s="78"/>
      <c r="N31" s="49"/>
      <c r="O31" s="49" t="e">
        <f>IF($E31="posto/hora extra",0,IF(OR(E31="posto/dia",E31="posto/dia líder"),VLOOKUP($C31,'Indicadores Financeiros'!$A$107:$J$119,8,FALSE)+VLOOKUP($C31,'Indicadores Financeiros'!$A$107:$J$119,9,FALSE)+VLOOKUP($C31,'Indicadores Financeiros'!$A$107:$J$119,10,FALSE),IF('Indicadores Financeiros'!$J$91=0,0,(VLOOKUP($C31,'Indicadores Financeiros'!$A$107:$J$119,9,FALSE)+VLOOKUP('Relatório Custo'!$C31,'Indicadores Financeiros'!$A$107:$J$119,10,FALSE)+('Indicadores Financeiros'!$J$87*'Relatório Custo'!$H31)))))</f>
        <v>#N/A</v>
      </c>
      <c r="P31" s="49"/>
      <c r="Q31" s="81"/>
      <c r="R31" s="81"/>
      <c r="S31" s="82"/>
      <c r="T31" s="47"/>
      <c r="U31" s="83"/>
      <c r="V31" s="24"/>
      <c r="W31" s="91"/>
      <c r="X31" s="20"/>
      <c r="Y31" s="114"/>
      <c r="Z31" s="43"/>
      <c r="AA31" s="41"/>
      <c r="AB31" s="25"/>
      <c r="AC31" s="23"/>
      <c r="AD31" s="23"/>
      <c r="AE31" s="154"/>
      <c r="AF31" s="155"/>
      <c r="AG31" s="155"/>
      <c r="AH31" s="31"/>
      <c r="AI31" s="31"/>
      <c r="AJ31" s="31"/>
      <c r="AK31" s="31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</row>
    <row r="32" spans="1:346" s="26" customFormat="1">
      <c r="A32" s="21"/>
      <c r="B32" s="22"/>
      <c r="C32" s="4"/>
      <c r="D32" s="7"/>
      <c r="E32" s="7"/>
      <c r="F32" s="4"/>
      <c r="G32" s="4"/>
      <c r="H32" s="4"/>
      <c r="I32" s="77"/>
      <c r="J32" s="156"/>
      <c r="K32" s="77"/>
      <c r="L32" s="78"/>
      <c r="M32" s="78"/>
      <c r="N32" s="49"/>
      <c r="O32" s="49" t="e">
        <f>IF($E32="posto/hora extra",0,IF(OR(E32="posto/dia",E32="posto/dia líder"),VLOOKUP($C32,'Indicadores Financeiros'!$A$107:$J$119,8,FALSE)+VLOOKUP($C32,'Indicadores Financeiros'!$A$107:$J$119,9,FALSE)+VLOOKUP($C32,'Indicadores Financeiros'!$A$107:$J$119,10,FALSE),IF('Indicadores Financeiros'!$J$91=0,0,(VLOOKUP($C32,'Indicadores Financeiros'!$A$107:$J$119,9,FALSE)+VLOOKUP('Relatório Custo'!$C32,'Indicadores Financeiros'!$A$107:$J$119,10,FALSE)+('Indicadores Financeiros'!$J$87*'Relatório Custo'!$H32)))))</f>
        <v>#N/A</v>
      </c>
      <c r="P32" s="49"/>
      <c r="Q32" s="81"/>
      <c r="R32" s="81"/>
      <c r="S32" s="82"/>
      <c r="T32" s="47"/>
      <c r="U32" s="83"/>
      <c r="V32" s="24"/>
      <c r="W32" s="91"/>
      <c r="X32" s="20"/>
      <c r="Y32" s="114"/>
      <c r="Z32" s="43"/>
      <c r="AA32" s="41"/>
      <c r="AB32" s="25"/>
      <c r="AC32" s="23"/>
      <c r="AD32" s="23"/>
      <c r="AE32" s="154"/>
      <c r="AF32" s="155"/>
      <c r="AG32" s="155"/>
      <c r="AH32" s="31"/>
      <c r="AI32" s="31"/>
      <c r="AJ32" s="31"/>
      <c r="AK32" s="31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</row>
    <row r="33" spans="1:346" s="26" customFormat="1">
      <c r="A33" s="21"/>
      <c r="B33" s="22"/>
      <c r="C33" s="4"/>
      <c r="D33" s="7"/>
      <c r="E33" s="7"/>
      <c r="F33" s="4"/>
      <c r="G33" s="4"/>
      <c r="H33" s="4"/>
      <c r="I33" s="77"/>
      <c r="J33" s="156"/>
      <c r="K33" s="77"/>
      <c r="L33" s="78"/>
      <c r="M33" s="78"/>
      <c r="N33" s="49"/>
      <c r="O33" s="49" t="e">
        <f>IF($E33="posto/hora extra",0,IF(OR(E33="posto/dia",E33="posto/dia líder"),VLOOKUP($C33,'Indicadores Financeiros'!$A$107:$J$119,8,FALSE)+VLOOKUP($C33,'Indicadores Financeiros'!$A$107:$J$119,9,FALSE)+VLOOKUP($C33,'Indicadores Financeiros'!$A$107:$J$119,10,FALSE),IF('Indicadores Financeiros'!$J$91=0,0,(VLOOKUP($C33,'Indicadores Financeiros'!$A$107:$J$119,9,FALSE)+VLOOKUP('Relatório Custo'!$C33,'Indicadores Financeiros'!$A$107:$J$119,10,FALSE)+('Indicadores Financeiros'!$J$87*'Relatório Custo'!$H33)))))</f>
        <v>#N/A</v>
      </c>
      <c r="P33" s="49"/>
      <c r="Q33" s="81"/>
      <c r="R33" s="81"/>
      <c r="S33" s="82"/>
      <c r="T33" s="47"/>
      <c r="U33" s="83"/>
      <c r="V33" s="24"/>
      <c r="W33" s="91"/>
      <c r="X33" s="20"/>
      <c r="Y33" s="114"/>
      <c r="Z33" s="43"/>
      <c r="AA33" s="41"/>
      <c r="AB33" s="25"/>
      <c r="AC33" s="23"/>
      <c r="AD33" s="23"/>
      <c r="AE33" s="154"/>
      <c r="AF33" s="155"/>
      <c r="AG33" s="155"/>
      <c r="AH33" s="31"/>
      <c r="AI33" s="31"/>
      <c r="AJ33" s="31"/>
      <c r="AK33" s="31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</row>
    <row r="34" spans="1:346" s="26" customFormat="1">
      <c r="A34" s="21"/>
      <c r="B34" s="22"/>
      <c r="C34" s="4"/>
      <c r="D34" s="7"/>
      <c r="E34" s="7"/>
      <c r="F34" s="4"/>
      <c r="G34" s="4"/>
      <c r="H34" s="4"/>
      <c r="I34" s="77"/>
      <c r="J34" s="156"/>
      <c r="K34" s="77"/>
      <c r="L34" s="78"/>
      <c r="M34" s="78"/>
      <c r="N34" s="49"/>
      <c r="O34" s="49" t="e">
        <f>IF($E34="posto/hora extra",0,IF(OR(E34="posto/dia",E34="posto/dia líder"),VLOOKUP($C34,'Indicadores Financeiros'!$A$107:$J$119,8,FALSE)+VLOOKUP($C34,'Indicadores Financeiros'!$A$107:$J$119,9,FALSE)+VLOOKUP($C34,'Indicadores Financeiros'!$A$107:$J$119,10,FALSE),IF('Indicadores Financeiros'!$J$91=0,0,(VLOOKUP($C34,'Indicadores Financeiros'!$A$107:$J$119,9,FALSE)+VLOOKUP('Relatório Custo'!$C34,'Indicadores Financeiros'!$A$107:$J$119,10,FALSE)+('Indicadores Financeiros'!$J$87*'Relatório Custo'!$H34)))))</f>
        <v>#N/A</v>
      </c>
      <c r="P34" s="49"/>
      <c r="Q34" s="81"/>
      <c r="R34" s="81"/>
      <c r="S34" s="82"/>
      <c r="T34" s="47"/>
      <c r="U34" s="83"/>
      <c r="V34" s="24"/>
      <c r="W34" s="91"/>
      <c r="X34" s="20"/>
      <c r="Y34" s="114"/>
      <c r="Z34" s="43"/>
      <c r="AA34" s="41"/>
      <c r="AB34" s="25"/>
      <c r="AC34" s="23"/>
      <c r="AD34" s="23"/>
      <c r="AE34" s="154"/>
      <c r="AF34" s="155"/>
      <c r="AG34" s="155"/>
      <c r="AH34" s="31"/>
      <c r="AI34" s="31"/>
      <c r="AJ34" s="31"/>
      <c r="AK34" s="31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</row>
    <row r="35" spans="1:346" s="26" customFormat="1">
      <c r="A35" s="21"/>
      <c r="B35" s="22"/>
      <c r="C35" s="4"/>
      <c r="D35" s="7"/>
      <c r="E35" s="7"/>
      <c r="F35" s="4"/>
      <c r="G35" s="4"/>
      <c r="H35" s="4"/>
      <c r="I35" s="77"/>
      <c r="J35" s="156"/>
      <c r="K35" s="77"/>
      <c r="L35" s="78"/>
      <c r="M35" s="78"/>
      <c r="N35" s="49"/>
      <c r="O35" s="49" t="e">
        <f>IF($E35="posto/hora extra",0,IF(OR(E35="posto/dia",E35="posto/dia líder"),VLOOKUP($C35,'Indicadores Financeiros'!$A$107:$J$119,8,FALSE)+VLOOKUP($C35,'Indicadores Financeiros'!$A$107:$J$119,9,FALSE)+VLOOKUP($C35,'Indicadores Financeiros'!$A$107:$J$119,10,FALSE),IF('Indicadores Financeiros'!$J$91=0,0,(VLOOKUP($C35,'Indicadores Financeiros'!$A$107:$J$119,9,FALSE)+VLOOKUP('Relatório Custo'!$C35,'Indicadores Financeiros'!$A$107:$J$119,10,FALSE)+('Indicadores Financeiros'!$J$87*'Relatório Custo'!$H35)))))</f>
        <v>#N/A</v>
      </c>
      <c r="P35" s="49"/>
      <c r="Q35" s="81"/>
      <c r="R35" s="81"/>
      <c r="S35" s="82"/>
      <c r="T35" s="47"/>
      <c r="U35" s="83"/>
      <c r="V35" s="24"/>
      <c r="W35" s="91"/>
      <c r="X35" s="20"/>
      <c r="Y35" s="114"/>
      <c r="Z35" s="43"/>
      <c r="AA35" s="41"/>
      <c r="AB35" s="25"/>
      <c r="AC35" s="23"/>
      <c r="AD35" s="23"/>
      <c r="AE35" s="154"/>
      <c r="AF35" s="155"/>
      <c r="AG35" s="155"/>
      <c r="AH35" s="31"/>
      <c r="AI35" s="31"/>
      <c r="AJ35" s="31"/>
      <c r="AK35" s="31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</row>
    <row r="36" spans="1:346" s="26" customFormat="1">
      <c r="A36" s="21"/>
      <c r="B36" s="22"/>
      <c r="C36" s="4"/>
      <c r="D36" s="7"/>
      <c r="E36" s="7"/>
      <c r="F36" s="4"/>
      <c r="G36" s="4"/>
      <c r="H36" s="4"/>
      <c r="I36" s="77"/>
      <c r="J36" s="156"/>
      <c r="K36" s="77"/>
      <c r="L36" s="78"/>
      <c r="M36" s="78"/>
      <c r="N36" s="49"/>
      <c r="O36" s="49" t="e">
        <f>IF($E36="posto/hora extra",0,IF(OR(E36="posto/dia",E36="posto/dia líder"),VLOOKUP($C36,'Indicadores Financeiros'!$A$107:$J$119,8,FALSE)+VLOOKUP($C36,'Indicadores Financeiros'!$A$107:$J$119,9,FALSE)+VLOOKUP($C36,'Indicadores Financeiros'!$A$107:$J$119,10,FALSE),IF('Indicadores Financeiros'!$J$91=0,0,(VLOOKUP($C36,'Indicadores Financeiros'!$A$107:$J$119,9,FALSE)+VLOOKUP('Relatório Custo'!$C36,'Indicadores Financeiros'!$A$107:$J$119,10,FALSE)+('Indicadores Financeiros'!$J$87*'Relatório Custo'!$H36)))))</f>
        <v>#N/A</v>
      </c>
      <c r="P36" s="49"/>
      <c r="Q36" s="81"/>
      <c r="R36" s="81"/>
      <c r="S36" s="82"/>
      <c r="T36" s="47"/>
      <c r="U36" s="83"/>
      <c r="V36" s="24"/>
      <c r="W36" s="91"/>
      <c r="X36" s="20"/>
      <c r="Y36" s="114"/>
      <c r="Z36" s="43"/>
      <c r="AA36" s="41"/>
      <c r="AB36" s="25"/>
      <c r="AC36" s="23"/>
      <c r="AD36" s="23"/>
      <c r="AE36" s="154"/>
      <c r="AF36" s="155"/>
      <c r="AG36" s="155"/>
      <c r="AH36" s="31"/>
      <c r="AI36" s="31"/>
      <c r="AJ36" s="31"/>
      <c r="AK36" s="31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</row>
    <row r="37" spans="1:346" s="26" customFormat="1">
      <c r="A37" s="21"/>
      <c r="B37" s="22"/>
      <c r="C37" s="4"/>
      <c r="D37" s="7"/>
      <c r="E37" s="7"/>
      <c r="F37" s="4"/>
      <c r="G37" s="4"/>
      <c r="H37" s="4"/>
      <c r="I37" s="77"/>
      <c r="J37" s="156"/>
      <c r="K37" s="77"/>
      <c r="L37" s="78"/>
      <c r="M37" s="78"/>
      <c r="N37" s="49"/>
      <c r="O37" s="49" t="e">
        <f>IF($E37="posto/hora extra",0,IF(OR(E37="posto/dia",E37="posto/dia líder"),VLOOKUP($C37,'Indicadores Financeiros'!$A$107:$J$119,8,FALSE)+VLOOKUP($C37,'Indicadores Financeiros'!$A$107:$J$119,9,FALSE)+VLOOKUP($C37,'Indicadores Financeiros'!$A$107:$J$119,10,FALSE),IF('Indicadores Financeiros'!$J$91=0,0,(VLOOKUP($C37,'Indicadores Financeiros'!$A$107:$J$119,9,FALSE)+VLOOKUP('Relatório Custo'!$C37,'Indicadores Financeiros'!$A$107:$J$119,10,FALSE)+('Indicadores Financeiros'!$J$87*'Relatório Custo'!$H37)))))</f>
        <v>#N/A</v>
      </c>
      <c r="P37" s="49"/>
      <c r="Q37" s="81"/>
      <c r="R37" s="81"/>
      <c r="S37" s="82"/>
      <c r="T37" s="47"/>
      <c r="U37" s="83"/>
      <c r="V37" s="24"/>
      <c r="W37" s="91"/>
      <c r="X37" s="20"/>
      <c r="Y37" s="114"/>
      <c r="Z37" s="43"/>
      <c r="AA37" s="41"/>
      <c r="AB37" s="25"/>
      <c r="AC37" s="23"/>
      <c r="AD37" s="23"/>
      <c r="AE37" s="154"/>
      <c r="AF37" s="155"/>
      <c r="AG37" s="155"/>
      <c r="AH37" s="31"/>
      <c r="AI37" s="31"/>
      <c r="AJ37" s="31"/>
      <c r="AK37" s="31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</row>
    <row r="38" spans="1:346" s="26" customFormat="1">
      <c r="A38" s="21"/>
      <c r="B38" s="22"/>
      <c r="C38" s="4"/>
      <c r="D38" s="7"/>
      <c r="E38" s="7"/>
      <c r="F38" s="4"/>
      <c r="G38" s="4"/>
      <c r="H38" s="4"/>
      <c r="I38" s="77"/>
      <c r="J38" s="156"/>
      <c r="K38" s="77"/>
      <c r="L38" s="78"/>
      <c r="M38" s="78"/>
      <c r="N38" s="49"/>
      <c r="O38" s="49" t="e">
        <f>IF($E38="posto/hora extra",0,IF(OR(E38="posto/dia",E38="posto/dia líder"),VLOOKUP($C38,'Indicadores Financeiros'!$A$107:$J$119,8,FALSE)+VLOOKUP($C38,'Indicadores Financeiros'!$A$107:$J$119,9,FALSE)+VLOOKUP($C38,'Indicadores Financeiros'!$A$107:$J$119,10,FALSE),IF('Indicadores Financeiros'!$J$91=0,0,(VLOOKUP($C38,'Indicadores Financeiros'!$A$107:$J$119,9,FALSE)+VLOOKUP('Relatório Custo'!$C38,'Indicadores Financeiros'!$A$107:$J$119,10,FALSE)+('Indicadores Financeiros'!$J$87*'Relatório Custo'!$H38)))))</f>
        <v>#N/A</v>
      </c>
      <c r="P38" s="49"/>
      <c r="Q38" s="81"/>
      <c r="R38" s="81"/>
      <c r="S38" s="82"/>
      <c r="T38" s="47"/>
      <c r="U38" s="83"/>
      <c r="V38" s="24"/>
      <c r="W38" s="91"/>
      <c r="X38" s="20"/>
      <c r="Y38" s="114"/>
      <c r="Z38" s="43"/>
      <c r="AA38" s="41"/>
      <c r="AB38" s="25"/>
      <c r="AC38" s="23"/>
      <c r="AD38" s="23"/>
      <c r="AE38" s="154"/>
      <c r="AF38" s="155"/>
      <c r="AG38" s="155"/>
      <c r="AH38" s="31"/>
      <c r="AI38" s="31"/>
      <c r="AJ38" s="31"/>
      <c r="AK38" s="31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</row>
    <row r="39" spans="1:346" s="26" customFormat="1">
      <c r="A39" s="21"/>
      <c r="B39" s="22"/>
      <c r="C39" s="4"/>
      <c r="D39" s="7"/>
      <c r="E39" s="7"/>
      <c r="F39" s="4"/>
      <c r="G39" s="4"/>
      <c r="H39" s="4"/>
      <c r="I39" s="77"/>
      <c r="J39" s="156"/>
      <c r="K39" s="77"/>
      <c r="L39" s="78"/>
      <c r="M39" s="78"/>
      <c r="N39" s="49"/>
      <c r="O39" s="49" t="e">
        <f>IF($E39="posto/hora extra",0,IF(OR(E39="posto/dia",E39="posto/dia líder"),VLOOKUP($C39,'Indicadores Financeiros'!$A$107:$J$119,8,FALSE)+VLOOKUP($C39,'Indicadores Financeiros'!$A$107:$J$119,9,FALSE)+VLOOKUP($C39,'Indicadores Financeiros'!$A$107:$J$119,10,FALSE),IF('Indicadores Financeiros'!$J$91=0,0,(VLOOKUP($C39,'Indicadores Financeiros'!$A$107:$J$119,9,FALSE)+VLOOKUP('Relatório Custo'!$C39,'Indicadores Financeiros'!$A$107:$J$119,10,FALSE)+('Indicadores Financeiros'!$J$87*'Relatório Custo'!$H39)))))</f>
        <v>#N/A</v>
      </c>
      <c r="P39" s="49"/>
      <c r="Q39" s="81"/>
      <c r="R39" s="81"/>
      <c r="S39" s="82"/>
      <c r="T39" s="47"/>
      <c r="U39" s="83"/>
      <c r="V39" s="24"/>
      <c r="W39" s="91"/>
      <c r="X39" s="20"/>
      <c r="Y39" s="114"/>
      <c r="Z39" s="43"/>
      <c r="AA39" s="41"/>
      <c r="AB39" s="25"/>
      <c r="AC39" s="23"/>
      <c r="AD39" s="23"/>
      <c r="AE39" s="154"/>
      <c r="AF39" s="155"/>
      <c r="AG39" s="155"/>
      <c r="AH39" s="31"/>
      <c r="AI39" s="31"/>
      <c r="AJ39" s="31"/>
      <c r="AK39" s="31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</row>
    <row r="40" spans="1:346" s="26" customFormat="1">
      <c r="A40" s="21"/>
      <c r="B40" s="22"/>
      <c r="C40" s="4"/>
      <c r="D40" s="7"/>
      <c r="E40" s="7"/>
      <c r="F40" s="4"/>
      <c r="G40" s="4"/>
      <c r="H40" s="4"/>
      <c r="I40" s="77"/>
      <c r="J40" s="156"/>
      <c r="K40" s="77"/>
      <c r="L40" s="78"/>
      <c r="M40" s="78"/>
      <c r="N40" s="49"/>
      <c r="O40" s="49" t="e">
        <f>IF($E40="posto/hora extra",0,IF(OR(E40="posto/dia",E40="posto/dia líder"),VLOOKUP($C40,'Indicadores Financeiros'!$A$107:$J$119,8,FALSE)+VLOOKUP($C40,'Indicadores Financeiros'!$A$107:$J$119,9,FALSE)+VLOOKUP($C40,'Indicadores Financeiros'!$A$107:$J$119,10,FALSE),IF('Indicadores Financeiros'!$J$91=0,0,(VLOOKUP($C40,'Indicadores Financeiros'!$A$107:$J$119,9,FALSE)+VLOOKUP('Relatório Custo'!$C40,'Indicadores Financeiros'!$A$107:$J$119,10,FALSE)+('Indicadores Financeiros'!$J$87*'Relatório Custo'!$H40)))))</f>
        <v>#N/A</v>
      </c>
      <c r="P40" s="49"/>
      <c r="Q40" s="81"/>
      <c r="R40" s="81"/>
      <c r="S40" s="82"/>
      <c r="T40" s="47"/>
      <c r="U40" s="83"/>
      <c r="V40" s="24"/>
      <c r="W40" s="91"/>
      <c r="X40" s="20"/>
      <c r="Y40" s="114"/>
      <c r="Z40" s="43"/>
      <c r="AA40" s="41"/>
      <c r="AB40" s="25"/>
      <c r="AC40" s="23"/>
      <c r="AD40" s="23"/>
      <c r="AE40" s="154"/>
      <c r="AF40" s="155"/>
      <c r="AG40" s="155"/>
      <c r="AH40" s="31"/>
      <c r="AI40" s="31"/>
      <c r="AJ40" s="31"/>
      <c r="AK40" s="31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</row>
    <row r="41" spans="1:346" s="26" customFormat="1">
      <c r="A41" s="21"/>
      <c r="B41" s="22"/>
      <c r="C41" s="4"/>
      <c r="D41" s="7"/>
      <c r="E41" s="7"/>
      <c r="F41" s="4"/>
      <c r="G41" s="4"/>
      <c r="H41" s="4"/>
      <c r="I41" s="77"/>
      <c r="J41" s="156"/>
      <c r="K41" s="77"/>
      <c r="L41" s="78"/>
      <c r="M41" s="78"/>
      <c r="N41" s="49"/>
      <c r="O41" s="49" t="e">
        <f>IF($E41="posto/hora extra",0,IF(OR(E41="posto/dia",E41="posto/dia líder"),VLOOKUP($C41,'Indicadores Financeiros'!$A$107:$J$119,8,FALSE)+VLOOKUP($C41,'Indicadores Financeiros'!$A$107:$J$119,9,FALSE)+VLOOKUP($C41,'Indicadores Financeiros'!$A$107:$J$119,10,FALSE),IF('Indicadores Financeiros'!$J$91=0,0,(VLOOKUP($C41,'Indicadores Financeiros'!$A$107:$J$119,9,FALSE)+VLOOKUP('Relatório Custo'!$C41,'Indicadores Financeiros'!$A$107:$J$119,10,FALSE)+('Indicadores Financeiros'!$J$87*'Relatório Custo'!$H41)))))</f>
        <v>#N/A</v>
      </c>
      <c r="P41" s="49"/>
      <c r="Q41" s="81"/>
      <c r="R41" s="81"/>
      <c r="S41" s="82"/>
      <c r="T41" s="47"/>
      <c r="U41" s="83"/>
      <c r="V41" s="24"/>
      <c r="W41" s="91"/>
      <c r="X41" s="20"/>
      <c r="Y41" s="114"/>
      <c r="Z41" s="43"/>
      <c r="AA41" s="41"/>
      <c r="AB41" s="25"/>
      <c r="AC41" s="23"/>
      <c r="AD41" s="23"/>
      <c r="AE41" s="154"/>
      <c r="AF41" s="155"/>
      <c r="AG41" s="155"/>
      <c r="AH41" s="31"/>
      <c r="AI41" s="31"/>
      <c r="AJ41" s="31"/>
      <c r="AK41" s="31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</row>
    <row r="42" spans="1:346" s="26" customFormat="1">
      <c r="A42" s="21"/>
      <c r="B42" s="22"/>
      <c r="C42" s="4"/>
      <c r="D42" s="7"/>
      <c r="E42" s="7"/>
      <c r="F42" s="4"/>
      <c r="G42" s="4"/>
      <c r="H42" s="4"/>
      <c r="I42" s="77"/>
      <c r="J42" s="156"/>
      <c r="K42" s="77"/>
      <c r="L42" s="78"/>
      <c r="M42" s="78"/>
      <c r="N42" s="49"/>
      <c r="O42" s="49" t="e">
        <f>IF($E42="posto/hora extra",0,IF(OR(E42="posto/dia",E42="posto/dia líder"),VLOOKUP($C42,'Indicadores Financeiros'!$A$107:$J$119,8,FALSE)+VLOOKUP($C42,'Indicadores Financeiros'!$A$107:$J$119,9,FALSE)+VLOOKUP($C42,'Indicadores Financeiros'!$A$107:$J$119,10,FALSE),IF('Indicadores Financeiros'!$J$91=0,0,(VLOOKUP($C42,'Indicadores Financeiros'!$A$107:$J$119,9,FALSE)+VLOOKUP('Relatório Custo'!$C42,'Indicadores Financeiros'!$A$107:$J$119,10,FALSE)+('Indicadores Financeiros'!$J$87*'Relatório Custo'!$H42)))))</f>
        <v>#N/A</v>
      </c>
      <c r="P42" s="49"/>
      <c r="Q42" s="81"/>
      <c r="R42" s="81"/>
      <c r="S42" s="82"/>
      <c r="T42" s="47"/>
      <c r="U42" s="83"/>
      <c r="V42" s="24"/>
      <c r="W42" s="91"/>
      <c r="X42" s="20"/>
      <c r="Y42" s="114"/>
      <c r="Z42" s="43"/>
      <c r="AA42" s="41"/>
      <c r="AB42" s="25"/>
      <c r="AC42" s="23"/>
      <c r="AD42" s="23"/>
      <c r="AE42" s="154"/>
      <c r="AF42" s="155"/>
      <c r="AG42" s="155"/>
      <c r="AH42" s="31"/>
      <c r="AI42" s="31"/>
      <c r="AJ42" s="31"/>
      <c r="AK42" s="31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</row>
    <row r="43" spans="1:346" s="26" customFormat="1">
      <c r="A43" s="21"/>
      <c r="B43" s="22"/>
      <c r="C43" s="4"/>
      <c r="D43" s="7"/>
      <c r="E43" s="7"/>
      <c r="F43" s="4"/>
      <c r="G43" s="4"/>
      <c r="H43" s="4"/>
      <c r="I43" s="77"/>
      <c r="J43" s="156"/>
      <c r="K43" s="77"/>
      <c r="L43" s="78"/>
      <c r="M43" s="78"/>
      <c r="N43" s="49"/>
      <c r="O43" s="49" t="e">
        <f>IF($E43="posto/hora extra",0,IF(OR(E43="posto/dia",E43="posto/dia líder"),VLOOKUP($C43,'Indicadores Financeiros'!$A$107:$J$119,8,FALSE)+VLOOKUP($C43,'Indicadores Financeiros'!$A$107:$J$119,9,FALSE)+VLOOKUP($C43,'Indicadores Financeiros'!$A$107:$J$119,10,FALSE),IF('Indicadores Financeiros'!$J$91=0,0,(VLOOKUP($C43,'Indicadores Financeiros'!$A$107:$J$119,9,FALSE)+VLOOKUP('Relatório Custo'!$C43,'Indicadores Financeiros'!$A$107:$J$119,10,FALSE)+('Indicadores Financeiros'!$J$87*'Relatório Custo'!$H43)))))</f>
        <v>#N/A</v>
      </c>
      <c r="P43" s="49"/>
      <c r="Q43" s="81"/>
      <c r="R43" s="81"/>
      <c r="S43" s="82"/>
      <c r="T43" s="47"/>
      <c r="U43" s="83"/>
      <c r="V43" s="24"/>
      <c r="W43" s="91"/>
      <c r="X43" s="20"/>
      <c r="Y43" s="114"/>
      <c r="Z43" s="43"/>
      <c r="AA43" s="41"/>
      <c r="AB43" s="25"/>
      <c r="AC43" s="23"/>
      <c r="AD43" s="23"/>
      <c r="AE43" s="154"/>
      <c r="AF43" s="155"/>
      <c r="AG43" s="155"/>
      <c r="AH43" s="31"/>
      <c r="AI43" s="31"/>
      <c r="AJ43" s="31"/>
      <c r="AK43" s="31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</row>
    <row r="44" spans="1:346" s="26" customFormat="1">
      <c r="A44" s="21"/>
      <c r="B44" s="22"/>
      <c r="C44" s="4"/>
      <c r="D44" s="7"/>
      <c r="E44" s="7"/>
      <c r="F44" s="4"/>
      <c r="G44" s="4"/>
      <c r="H44" s="4"/>
      <c r="I44" s="77"/>
      <c r="J44" s="156"/>
      <c r="K44" s="77"/>
      <c r="L44" s="78"/>
      <c r="M44" s="78"/>
      <c r="N44" s="49"/>
      <c r="O44" s="49" t="e">
        <f>IF($E44="posto/hora extra",0,IF(OR(E44="posto/dia",E44="posto/dia líder"),VLOOKUP($C44,'Indicadores Financeiros'!$A$107:$J$119,8,FALSE)+VLOOKUP($C44,'Indicadores Financeiros'!$A$107:$J$119,9,FALSE)+VLOOKUP($C44,'Indicadores Financeiros'!$A$107:$J$119,10,FALSE),IF('Indicadores Financeiros'!$J$91=0,0,(VLOOKUP($C44,'Indicadores Financeiros'!$A$107:$J$119,9,FALSE)+VLOOKUP('Relatório Custo'!$C44,'Indicadores Financeiros'!$A$107:$J$119,10,FALSE)+('Indicadores Financeiros'!$J$87*'Relatório Custo'!$H44)))))</f>
        <v>#N/A</v>
      </c>
      <c r="P44" s="49"/>
      <c r="Q44" s="81"/>
      <c r="R44" s="81"/>
      <c r="S44" s="82"/>
      <c r="T44" s="47"/>
      <c r="U44" s="83"/>
      <c r="V44" s="24"/>
      <c r="W44" s="91"/>
      <c r="X44" s="20"/>
      <c r="Y44" s="114"/>
      <c r="Z44" s="43"/>
      <c r="AA44" s="41"/>
      <c r="AB44" s="25"/>
      <c r="AC44" s="23"/>
      <c r="AD44" s="23"/>
      <c r="AE44" s="154"/>
      <c r="AF44" s="155"/>
      <c r="AG44" s="155"/>
      <c r="AH44" s="31"/>
      <c r="AI44" s="31"/>
      <c r="AJ44" s="31"/>
      <c r="AK44" s="31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</row>
    <row r="45" spans="1:346" s="26" customFormat="1">
      <c r="A45" s="21"/>
      <c r="B45" s="22"/>
      <c r="C45" s="4"/>
      <c r="D45" s="7"/>
      <c r="E45" s="7"/>
      <c r="F45" s="4"/>
      <c r="G45" s="4"/>
      <c r="H45" s="4"/>
      <c r="I45" s="77"/>
      <c r="J45" s="156"/>
      <c r="K45" s="77"/>
      <c r="L45" s="78"/>
      <c r="M45" s="78"/>
      <c r="N45" s="49"/>
      <c r="O45" s="49" t="e">
        <f>IF($E45="posto/hora extra",0,IF(OR(E45="posto/dia",E45="posto/dia líder"),VLOOKUP($C45,'Indicadores Financeiros'!$A$107:$J$119,8,FALSE)+VLOOKUP($C45,'Indicadores Financeiros'!$A$107:$J$119,9,FALSE)+VLOOKUP($C45,'Indicadores Financeiros'!$A$107:$J$119,10,FALSE),IF('Indicadores Financeiros'!$J$91=0,0,(VLOOKUP($C45,'Indicadores Financeiros'!$A$107:$J$119,9,FALSE)+VLOOKUP('Relatório Custo'!$C45,'Indicadores Financeiros'!$A$107:$J$119,10,FALSE)+('Indicadores Financeiros'!$J$87*'Relatório Custo'!$H45)))))</f>
        <v>#N/A</v>
      </c>
      <c r="P45" s="49"/>
      <c r="Q45" s="81"/>
      <c r="R45" s="81"/>
      <c r="S45" s="82"/>
      <c r="T45" s="47"/>
      <c r="U45" s="83"/>
      <c r="V45" s="24"/>
      <c r="W45" s="91"/>
      <c r="X45" s="20"/>
      <c r="Y45" s="114"/>
      <c r="Z45" s="43"/>
      <c r="AA45" s="41"/>
      <c r="AB45" s="25"/>
      <c r="AC45" s="23"/>
      <c r="AD45" s="23"/>
      <c r="AE45" s="154"/>
      <c r="AF45" s="155"/>
      <c r="AG45" s="155"/>
      <c r="AH45" s="31"/>
      <c r="AI45" s="31"/>
      <c r="AJ45" s="31"/>
      <c r="AK45" s="31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</row>
    <row r="46" spans="1:346" s="26" customFormat="1">
      <c r="A46" s="21"/>
      <c r="B46" s="22"/>
      <c r="C46" s="4"/>
      <c r="D46" s="7"/>
      <c r="E46" s="7"/>
      <c r="F46" s="4"/>
      <c r="G46" s="4"/>
      <c r="H46" s="4"/>
      <c r="I46" s="77"/>
      <c r="J46" s="156"/>
      <c r="K46" s="77"/>
      <c r="L46" s="78"/>
      <c r="M46" s="78"/>
      <c r="N46" s="49"/>
      <c r="O46" s="49" t="e">
        <f>IF($E46="posto/hora extra",0,IF(OR(E46="posto/dia",E46="posto/dia líder"),VLOOKUP($C46,'Indicadores Financeiros'!$A$107:$J$119,8,FALSE)+VLOOKUP($C46,'Indicadores Financeiros'!$A$107:$J$119,9,FALSE)+VLOOKUP($C46,'Indicadores Financeiros'!$A$107:$J$119,10,FALSE),IF('Indicadores Financeiros'!$J$91=0,0,(VLOOKUP($C46,'Indicadores Financeiros'!$A$107:$J$119,9,FALSE)+VLOOKUP('Relatório Custo'!$C46,'Indicadores Financeiros'!$A$107:$J$119,10,FALSE)+('Indicadores Financeiros'!$J$87*'Relatório Custo'!$H46)))))</f>
        <v>#N/A</v>
      </c>
      <c r="P46" s="49"/>
      <c r="Q46" s="81"/>
      <c r="R46" s="81"/>
      <c r="S46" s="82"/>
      <c r="T46" s="47"/>
      <c r="U46" s="83"/>
      <c r="V46" s="24"/>
      <c r="W46" s="91"/>
      <c r="X46" s="20"/>
      <c r="Y46" s="114"/>
      <c r="Z46" s="43"/>
      <c r="AA46" s="41"/>
      <c r="AB46" s="25"/>
      <c r="AC46" s="23"/>
      <c r="AD46" s="23"/>
      <c r="AE46" s="154"/>
      <c r="AF46" s="155"/>
      <c r="AG46" s="155"/>
      <c r="AH46" s="31"/>
      <c r="AI46" s="31"/>
      <c r="AJ46" s="31"/>
      <c r="AK46" s="31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</row>
    <row r="47" spans="1:346" s="26" customFormat="1">
      <c r="A47" s="21"/>
      <c r="B47" s="22"/>
      <c r="C47" s="4"/>
      <c r="D47" s="7"/>
      <c r="E47" s="7"/>
      <c r="F47" s="4"/>
      <c r="G47" s="4"/>
      <c r="H47" s="4"/>
      <c r="I47" s="77"/>
      <c r="J47" s="156"/>
      <c r="K47" s="77"/>
      <c r="L47" s="78"/>
      <c r="M47" s="78"/>
      <c r="N47" s="49"/>
      <c r="O47" s="49" t="e">
        <f>IF($E47="posto/hora extra",0,IF(OR(E47="posto/dia",E47="posto/dia líder"),VLOOKUP($C47,'Indicadores Financeiros'!$A$107:$J$119,8,FALSE)+VLOOKUP($C47,'Indicadores Financeiros'!$A$107:$J$119,9,FALSE)+VLOOKUP($C47,'Indicadores Financeiros'!$A$107:$J$119,10,FALSE),IF('Indicadores Financeiros'!$J$91=0,0,(VLOOKUP($C47,'Indicadores Financeiros'!$A$107:$J$119,9,FALSE)+VLOOKUP('Relatório Custo'!$C47,'Indicadores Financeiros'!$A$107:$J$119,10,FALSE)+('Indicadores Financeiros'!$J$87*'Relatório Custo'!$H47)))))</f>
        <v>#N/A</v>
      </c>
      <c r="P47" s="49"/>
      <c r="Q47" s="81"/>
      <c r="R47" s="81"/>
      <c r="S47" s="82"/>
      <c r="T47" s="47"/>
      <c r="U47" s="83"/>
      <c r="V47" s="24"/>
      <c r="W47" s="91"/>
      <c r="X47" s="20"/>
      <c r="Y47" s="114"/>
      <c r="Z47" s="43"/>
      <c r="AA47" s="41"/>
      <c r="AB47" s="25"/>
      <c r="AC47" s="23"/>
      <c r="AD47" s="23"/>
      <c r="AE47" s="154"/>
      <c r="AF47" s="155"/>
      <c r="AG47" s="155"/>
      <c r="AH47" s="31"/>
      <c r="AI47" s="31"/>
      <c r="AJ47" s="31"/>
      <c r="AK47" s="31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</row>
    <row r="48" spans="1:346" s="26" customFormat="1">
      <c r="A48" s="21"/>
      <c r="B48" s="22"/>
      <c r="C48" s="4"/>
      <c r="D48" s="7"/>
      <c r="E48" s="7"/>
      <c r="F48" s="4"/>
      <c r="G48" s="4"/>
      <c r="H48" s="4"/>
      <c r="I48" s="77"/>
      <c r="J48" s="156"/>
      <c r="K48" s="77"/>
      <c r="L48" s="78"/>
      <c r="M48" s="78"/>
      <c r="N48" s="49"/>
      <c r="O48" s="49" t="e">
        <f>IF($E48="posto/hora extra",0,IF(OR(E48="posto/dia",E48="posto/dia líder"),VLOOKUP($C48,'Indicadores Financeiros'!$A$107:$J$119,8,FALSE)+VLOOKUP($C48,'Indicadores Financeiros'!$A$107:$J$119,9,FALSE)+VLOOKUP($C48,'Indicadores Financeiros'!$A$107:$J$119,10,FALSE),IF('Indicadores Financeiros'!$J$91=0,0,(VLOOKUP($C48,'Indicadores Financeiros'!$A$107:$J$119,9,FALSE)+VLOOKUP('Relatório Custo'!$C48,'Indicadores Financeiros'!$A$107:$J$119,10,FALSE)+('Indicadores Financeiros'!$J$87*'Relatório Custo'!$H48)))))</f>
        <v>#N/A</v>
      </c>
      <c r="P48" s="49"/>
      <c r="Q48" s="81"/>
      <c r="R48" s="81"/>
      <c r="S48" s="82"/>
      <c r="T48" s="47"/>
      <c r="U48" s="83"/>
      <c r="V48" s="24"/>
      <c r="W48" s="91"/>
      <c r="X48" s="20"/>
      <c r="Y48" s="114"/>
      <c r="Z48" s="43"/>
      <c r="AA48" s="41"/>
      <c r="AB48" s="25"/>
      <c r="AC48" s="23"/>
      <c r="AD48" s="23"/>
      <c r="AE48" s="154"/>
      <c r="AF48" s="155"/>
      <c r="AG48" s="155"/>
      <c r="AH48" s="31"/>
      <c r="AI48" s="31"/>
      <c r="AJ48" s="31"/>
      <c r="AK48" s="31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</row>
    <row r="49" spans="1:346" s="26" customFormat="1">
      <c r="A49" s="21"/>
      <c r="B49" s="22"/>
      <c r="C49" s="4"/>
      <c r="D49" s="7"/>
      <c r="E49" s="7"/>
      <c r="F49" s="4"/>
      <c r="G49" s="4"/>
      <c r="H49" s="4"/>
      <c r="I49" s="77"/>
      <c r="J49" s="156"/>
      <c r="K49" s="77"/>
      <c r="L49" s="78"/>
      <c r="M49" s="78"/>
      <c r="N49" s="49"/>
      <c r="O49" s="49" t="e">
        <f>IF($E49="posto/hora extra",0,IF(OR(E49="posto/dia",E49="posto/dia líder"),VLOOKUP($C49,'Indicadores Financeiros'!$A$107:$J$119,8,FALSE)+VLOOKUP($C49,'Indicadores Financeiros'!$A$107:$J$119,9,FALSE)+VLOOKUP($C49,'Indicadores Financeiros'!$A$107:$J$119,10,FALSE),IF('Indicadores Financeiros'!$J$91=0,0,(VLOOKUP($C49,'Indicadores Financeiros'!$A$107:$J$119,9,FALSE)+VLOOKUP('Relatório Custo'!$C49,'Indicadores Financeiros'!$A$107:$J$119,10,FALSE)+('Indicadores Financeiros'!$J$87*'Relatório Custo'!$H49)))))</f>
        <v>#N/A</v>
      </c>
      <c r="P49" s="49"/>
      <c r="Q49" s="81"/>
      <c r="R49" s="81"/>
      <c r="S49" s="82"/>
      <c r="T49" s="47"/>
      <c r="U49" s="83"/>
      <c r="V49" s="24"/>
      <c r="W49" s="91"/>
      <c r="X49" s="20"/>
      <c r="Y49" s="114"/>
      <c r="Z49" s="43"/>
      <c r="AA49" s="41"/>
      <c r="AB49" s="25"/>
      <c r="AC49" s="23"/>
      <c r="AD49" s="23"/>
      <c r="AE49" s="154"/>
      <c r="AF49" s="155"/>
      <c r="AG49" s="155"/>
      <c r="AH49" s="31"/>
      <c r="AI49" s="31"/>
      <c r="AJ49" s="31"/>
      <c r="AK49" s="31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</row>
    <row r="50" spans="1:346" s="26" customFormat="1">
      <c r="A50" s="21"/>
      <c r="B50" s="22"/>
      <c r="C50" s="4"/>
      <c r="D50" s="7"/>
      <c r="E50" s="7"/>
      <c r="F50" s="4"/>
      <c r="G50" s="4"/>
      <c r="H50" s="4"/>
      <c r="I50" s="77"/>
      <c r="J50" s="156"/>
      <c r="K50" s="77"/>
      <c r="L50" s="78"/>
      <c r="M50" s="78"/>
      <c r="N50" s="49"/>
      <c r="O50" s="49" t="e">
        <f>IF($E50="posto/hora extra",0,IF(OR(E50="posto/dia",E50="posto/dia líder"),VLOOKUP($C50,'Indicadores Financeiros'!$A$107:$J$119,8,FALSE)+VLOOKUP($C50,'Indicadores Financeiros'!$A$107:$J$119,9,FALSE)+VLOOKUP($C50,'Indicadores Financeiros'!$A$107:$J$119,10,FALSE),IF('Indicadores Financeiros'!$J$91=0,0,(VLOOKUP($C50,'Indicadores Financeiros'!$A$107:$J$119,9,FALSE)+VLOOKUP('Relatório Custo'!$C50,'Indicadores Financeiros'!$A$107:$J$119,10,FALSE)+('Indicadores Financeiros'!$J$87*'Relatório Custo'!$H50)))))</f>
        <v>#N/A</v>
      </c>
      <c r="P50" s="49"/>
      <c r="Q50" s="81"/>
      <c r="R50" s="81"/>
      <c r="S50" s="82"/>
      <c r="T50" s="47"/>
      <c r="U50" s="83"/>
      <c r="V50" s="24"/>
      <c r="W50" s="91"/>
      <c r="X50" s="20"/>
      <c r="Y50" s="114"/>
      <c r="Z50" s="43"/>
      <c r="AA50" s="41"/>
      <c r="AB50" s="25"/>
      <c r="AC50" s="23"/>
      <c r="AD50" s="23"/>
      <c r="AE50" s="154"/>
      <c r="AF50" s="155"/>
      <c r="AG50" s="155"/>
      <c r="AH50" s="31"/>
      <c r="AI50" s="31"/>
      <c r="AJ50" s="31"/>
      <c r="AK50" s="31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</row>
    <row r="51" spans="1:346" s="26" customFormat="1">
      <c r="A51" s="21"/>
      <c r="B51" s="22"/>
      <c r="C51" s="4"/>
      <c r="D51" s="7"/>
      <c r="E51" s="7"/>
      <c r="F51" s="4"/>
      <c r="G51" s="4"/>
      <c r="H51" s="4"/>
      <c r="I51" s="77"/>
      <c r="J51" s="156"/>
      <c r="K51" s="77"/>
      <c r="L51" s="78"/>
      <c r="M51" s="78"/>
      <c r="N51" s="49"/>
      <c r="O51" s="49" t="e">
        <f>IF($E51="posto/hora extra",0,IF(OR(E51="posto/dia",E51="posto/dia líder"),VLOOKUP($C51,'Indicadores Financeiros'!$A$107:$J$119,8,FALSE)+VLOOKUP($C51,'Indicadores Financeiros'!$A$107:$J$119,9,FALSE)+VLOOKUP($C51,'Indicadores Financeiros'!$A$107:$J$119,10,FALSE),IF('Indicadores Financeiros'!$J$91=0,0,(VLOOKUP($C51,'Indicadores Financeiros'!$A$107:$J$119,9,FALSE)+VLOOKUP('Relatório Custo'!$C51,'Indicadores Financeiros'!$A$107:$J$119,10,FALSE)+('Indicadores Financeiros'!$J$87*'Relatório Custo'!$H51)))))</f>
        <v>#N/A</v>
      </c>
      <c r="P51" s="49"/>
      <c r="Q51" s="81"/>
      <c r="R51" s="81"/>
      <c r="S51" s="82"/>
      <c r="T51" s="47"/>
      <c r="U51" s="83"/>
      <c r="V51" s="24"/>
      <c r="W51" s="91"/>
      <c r="X51" s="20"/>
      <c r="Y51" s="114"/>
      <c r="Z51" s="43"/>
      <c r="AA51" s="41"/>
      <c r="AB51" s="25"/>
      <c r="AC51" s="23"/>
      <c r="AD51" s="23"/>
      <c r="AE51" s="154"/>
      <c r="AF51" s="155"/>
      <c r="AG51" s="155"/>
      <c r="AH51" s="31"/>
      <c r="AI51" s="31"/>
      <c r="AJ51" s="31"/>
      <c r="AK51" s="31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</row>
    <row r="52" spans="1:346" s="26" customFormat="1">
      <c r="A52" s="21"/>
      <c r="B52" s="22"/>
      <c r="C52" s="4"/>
      <c r="D52" s="7"/>
      <c r="E52" s="7"/>
      <c r="F52" s="4"/>
      <c r="G52" s="4"/>
      <c r="H52" s="4"/>
      <c r="I52" s="77"/>
      <c r="J52" s="156"/>
      <c r="K52" s="77"/>
      <c r="L52" s="78"/>
      <c r="M52" s="78"/>
      <c r="N52" s="49"/>
      <c r="O52" s="49" t="e">
        <f>IF($E52="posto/hora extra",0,IF(OR(E52="posto/dia",E52="posto/dia líder"),VLOOKUP($C52,'Indicadores Financeiros'!$A$107:$J$119,8,FALSE)+VLOOKUP($C52,'Indicadores Financeiros'!$A$107:$J$119,9,FALSE)+VLOOKUP($C52,'Indicadores Financeiros'!$A$107:$J$119,10,FALSE),IF('Indicadores Financeiros'!$J$91=0,0,(VLOOKUP($C52,'Indicadores Financeiros'!$A$107:$J$119,9,FALSE)+VLOOKUP('Relatório Custo'!$C52,'Indicadores Financeiros'!$A$107:$J$119,10,FALSE)+('Indicadores Financeiros'!$J$87*'Relatório Custo'!$H52)))))</f>
        <v>#N/A</v>
      </c>
      <c r="P52" s="49"/>
      <c r="Q52" s="81"/>
      <c r="R52" s="81"/>
      <c r="S52" s="82"/>
      <c r="T52" s="47"/>
      <c r="U52" s="83"/>
      <c r="V52" s="24"/>
      <c r="W52" s="91"/>
      <c r="X52" s="20"/>
      <c r="Y52" s="114"/>
      <c r="Z52" s="43"/>
      <c r="AA52" s="41"/>
      <c r="AB52" s="25"/>
      <c r="AC52" s="23"/>
      <c r="AD52" s="23"/>
      <c r="AE52" s="154"/>
      <c r="AF52" s="155"/>
      <c r="AG52" s="155"/>
      <c r="AH52" s="31"/>
      <c r="AI52" s="31"/>
      <c r="AJ52" s="31"/>
      <c r="AK52" s="31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</row>
    <row r="53" spans="1:346" s="26" customFormat="1">
      <c r="A53" s="21"/>
      <c r="B53" s="22"/>
      <c r="C53" s="4"/>
      <c r="D53" s="7"/>
      <c r="E53" s="7"/>
      <c r="F53" s="4"/>
      <c r="G53" s="4"/>
      <c r="H53" s="4"/>
      <c r="I53" s="77"/>
      <c r="J53" s="156"/>
      <c r="K53" s="77"/>
      <c r="L53" s="78"/>
      <c r="M53" s="78"/>
      <c r="N53" s="49"/>
      <c r="O53" s="49" t="e">
        <f>IF($E53="posto/hora extra",0,IF(OR(E53="posto/dia",E53="posto/dia líder"),VLOOKUP($C53,'Indicadores Financeiros'!$A$107:$J$119,8,FALSE)+VLOOKUP($C53,'Indicadores Financeiros'!$A$107:$J$119,9,FALSE)+VLOOKUP($C53,'Indicadores Financeiros'!$A$107:$J$119,10,FALSE),IF('Indicadores Financeiros'!$J$91=0,0,(VLOOKUP($C53,'Indicadores Financeiros'!$A$107:$J$119,9,FALSE)+VLOOKUP('Relatório Custo'!$C53,'Indicadores Financeiros'!$A$107:$J$119,10,FALSE)+('Indicadores Financeiros'!$J$87*'Relatório Custo'!$H53)))))</f>
        <v>#N/A</v>
      </c>
      <c r="P53" s="49"/>
      <c r="Q53" s="81"/>
      <c r="R53" s="81"/>
      <c r="S53" s="82"/>
      <c r="T53" s="47"/>
      <c r="U53" s="83"/>
      <c r="V53" s="24"/>
      <c r="W53" s="91"/>
      <c r="X53" s="20"/>
      <c r="Y53" s="114"/>
      <c r="Z53" s="43"/>
      <c r="AA53" s="41"/>
      <c r="AB53" s="25"/>
      <c r="AC53" s="23"/>
      <c r="AD53" s="23"/>
      <c r="AE53" s="154"/>
      <c r="AF53" s="155"/>
      <c r="AG53" s="155"/>
      <c r="AH53" s="31"/>
      <c r="AI53" s="31"/>
      <c r="AJ53" s="31"/>
      <c r="AK53" s="31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</row>
    <row r="54" spans="1:346" s="26" customFormat="1">
      <c r="A54" s="21"/>
      <c r="B54" s="22"/>
      <c r="C54" s="4"/>
      <c r="D54" s="7"/>
      <c r="E54" s="7"/>
      <c r="F54" s="4"/>
      <c r="G54" s="4"/>
      <c r="H54" s="4"/>
      <c r="I54" s="77"/>
      <c r="J54" s="156"/>
      <c r="K54" s="77"/>
      <c r="L54" s="78"/>
      <c r="M54" s="78"/>
      <c r="N54" s="49"/>
      <c r="O54" s="49" t="e">
        <f>IF($E54="posto/hora extra",0,IF(OR(E54="posto/dia",E54="posto/dia líder"),VLOOKUP($C54,'Indicadores Financeiros'!$A$107:$J$119,8,FALSE)+VLOOKUP($C54,'Indicadores Financeiros'!$A$107:$J$119,9,FALSE)+VLOOKUP($C54,'Indicadores Financeiros'!$A$107:$J$119,10,FALSE),IF('Indicadores Financeiros'!$J$91=0,0,(VLOOKUP($C54,'Indicadores Financeiros'!$A$107:$J$119,9,FALSE)+VLOOKUP('Relatório Custo'!$C54,'Indicadores Financeiros'!$A$107:$J$119,10,FALSE)+('Indicadores Financeiros'!$J$87*'Relatório Custo'!$H54)))))</f>
        <v>#N/A</v>
      </c>
      <c r="P54" s="49"/>
      <c r="Q54" s="81"/>
      <c r="R54" s="81"/>
      <c r="S54" s="82"/>
      <c r="T54" s="47"/>
      <c r="U54" s="83"/>
      <c r="V54" s="24"/>
      <c r="W54" s="91"/>
      <c r="X54" s="20"/>
      <c r="Y54" s="114"/>
      <c r="Z54" s="43"/>
      <c r="AA54" s="41"/>
      <c r="AB54" s="25"/>
      <c r="AC54" s="23"/>
      <c r="AD54" s="23"/>
      <c r="AE54" s="154"/>
      <c r="AF54" s="155"/>
      <c r="AG54" s="155"/>
      <c r="AH54" s="31"/>
      <c r="AI54" s="31"/>
      <c r="AJ54" s="31"/>
      <c r="AK54" s="31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</row>
    <row r="55" spans="1:346" s="26" customFormat="1">
      <c r="A55" s="21"/>
      <c r="B55" s="22"/>
      <c r="C55" s="4"/>
      <c r="D55" s="7"/>
      <c r="E55" s="7"/>
      <c r="F55" s="4"/>
      <c r="G55" s="4"/>
      <c r="H55" s="4"/>
      <c r="I55" s="77"/>
      <c r="J55" s="156"/>
      <c r="K55" s="77"/>
      <c r="L55" s="78"/>
      <c r="M55" s="78"/>
      <c r="N55" s="49"/>
      <c r="O55" s="49" t="e">
        <f>IF($E55="posto/hora extra",0,IF(OR(E55="posto/dia",E55="posto/dia líder"),VLOOKUP($C55,'Indicadores Financeiros'!$A$107:$J$119,8,FALSE)+VLOOKUP($C55,'Indicadores Financeiros'!$A$107:$J$119,9,FALSE)+VLOOKUP($C55,'Indicadores Financeiros'!$A$107:$J$119,10,FALSE),IF('Indicadores Financeiros'!$J$91=0,0,(VLOOKUP($C55,'Indicadores Financeiros'!$A$107:$J$119,9,FALSE)+VLOOKUP('Relatório Custo'!$C55,'Indicadores Financeiros'!$A$107:$J$119,10,FALSE)+('Indicadores Financeiros'!$J$87*'Relatório Custo'!$H55)))))</f>
        <v>#N/A</v>
      </c>
      <c r="P55" s="49"/>
      <c r="Q55" s="81"/>
      <c r="R55" s="81"/>
      <c r="S55" s="82"/>
      <c r="T55" s="47"/>
      <c r="U55" s="83"/>
      <c r="V55" s="24"/>
      <c r="W55" s="91"/>
      <c r="X55" s="20"/>
      <c r="Y55" s="114"/>
      <c r="Z55" s="43"/>
      <c r="AA55" s="41"/>
      <c r="AB55" s="25"/>
      <c r="AC55" s="23"/>
      <c r="AD55" s="23"/>
      <c r="AE55" s="154"/>
      <c r="AF55" s="155"/>
      <c r="AG55" s="155"/>
      <c r="AH55" s="31"/>
      <c r="AI55" s="31"/>
      <c r="AJ55" s="31"/>
      <c r="AK55" s="31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</row>
    <row r="56" spans="1:346" s="26" customFormat="1">
      <c r="A56" s="21"/>
      <c r="B56" s="22"/>
      <c r="C56" s="4"/>
      <c r="D56" s="7"/>
      <c r="E56" s="7"/>
      <c r="F56" s="4"/>
      <c r="G56" s="4"/>
      <c r="H56" s="4"/>
      <c r="I56" s="77"/>
      <c r="J56" s="156"/>
      <c r="K56" s="77"/>
      <c r="L56" s="78"/>
      <c r="M56" s="78"/>
      <c r="N56" s="49"/>
      <c r="O56" s="49" t="e">
        <f>IF($E56="posto/hora extra",0,IF(OR(E56="posto/dia",E56="posto/dia líder"),VLOOKUP($C56,'Indicadores Financeiros'!$A$107:$J$119,8,FALSE)+VLOOKUP($C56,'Indicadores Financeiros'!$A$107:$J$119,9,FALSE)+VLOOKUP($C56,'Indicadores Financeiros'!$A$107:$J$119,10,FALSE),IF('Indicadores Financeiros'!$J$91=0,0,(VLOOKUP($C56,'Indicadores Financeiros'!$A$107:$J$119,9,FALSE)+VLOOKUP('Relatório Custo'!$C56,'Indicadores Financeiros'!$A$107:$J$119,10,FALSE)+('Indicadores Financeiros'!$J$87*'Relatório Custo'!$H56)))))</f>
        <v>#N/A</v>
      </c>
      <c r="P56" s="49"/>
      <c r="Q56" s="81"/>
      <c r="R56" s="81"/>
      <c r="S56" s="82"/>
      <c r="T56" s="47"/>
      <c r="U56" s="83"/>
      <c r="V56" s="24"/>
      <c r="W56" s="91"/>
      <c r="X56" s="20"/>
      <c r="Y56" s="114"/>
      <c r="Z56" s="43"/>
      <c r="AA56" s="41"/>
      <c r="AB56" s="25"/>
      <c r="AC56" s="23"/>
      <c r="AD56" s="23"/>
      <c r="AE56" s="154"/>
      <c r="AF56" s="155"/>
      <c r="AG56" s="155"/>
      <c r="AH56" s="31"/>
      <c r="AI56" s="31"/>
      <c r="AJ56" s="31"/>
      <c r="AK56" s="31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</row>
    <row r="57" spans="1:346" s="26" customFormat="1">
      <c r="A57" s="21"/>
      <c r="B57" s="22"/>
      <c r="C57" s="4"/>
      <c r="D57" s="7"/>
      <c r="E57" s="7"/>
      <c r="F57" s="4"/>
      <c r="G57" s="4"/>
      <c r="H57" s="4"/>
      <c r="I57" s="77"/>
      <c r="J57" s="156"/>
      <c r="K57" s="77"/>
      <c r="L57" s="78"/>
      <c r="M57" s="78"/>
      <c r="N57" s="49"/>
      <c r="O57" s="49" t="e">
        <f>IF($E57="posto/hora extra",0,IF(OR(E57="posto/dia",E57="posto/dia líder"),VLOOKUP($C57,'Indicadores Financeiros'!$A$107:$J$119,8,FALSE)+VLOOKUP($C57,'Indicadores Financeiros'!$A$107:$J$119,9,FALSE)+VLOOKUP($C57,'Indicadores Financeiros'!$A$107:$J$119,10,FALSE),IF('Indicadores Financeiros'!$J$91=0,0,(VLOOKUP($C57,'Indicadores Financeiros'!$A$107:$J$119,9,FALSE)+VLOOKUP('Relatório Custo'!$C57,'Indicadores Financeiros'!$A$107:$J$119,10,FALSE)+('Indicadores Financeiros'!$J$87*'Relatório Custo'!$H57)))))</f>
        <v>#N/A</v>
      </c>
      <c r="P57" s="49"/>
      <c r="Q57" s="81"/>
      <c r="R57" s="81"/>
      <c r="S57" s="82"/>
      <c r="T57" s="47"/>
      <c r="U57" s="83"/>
      <c r="V57" s="24"/>
      <c r="W57" s="91"/>
      <c r="X57" s="20"/>
      <c r="Y57" s="114"/>
      <c r="Z57" s="43"/>
      <c r="AA57" s="41"/>
      <c r="AB57" s="25"/>
      <c r="AC57" s="23"/>
      <c r="AD57" s="23"/>
      <c r="AE57" s="154"/>
      <c r="AF57" s="155"/>
      <c r="AG57" s="155"/>
      <c r="AH57" s="31"/>
      <c r="AI57" s="31"/>
      <c r="AJ57" s="31"/>
      <c r="AK57" s="31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</row>
    <row r="58" spans="1:346" s="26" customFormat="1">
      <c r="A58" s="21"/>
      <c r="B58" s="22"/>
      <c r="C58" s="4"/>
      <c r="D58" s="7"/>
      <c r="E58" s="7"/>
      <c r="F58" s="4"/>
      <c r="G58" s="4"/>
      <c r="H58" s="4"/>
      <c r="I58" s="77"/>
      <c r="J58" s="156"/>
      <c r="K58" s="77"/>
      <c r="L58" s="78"/>
      <c r="M58" s="78"/>
      <c r="N58" s="49"/>
      <c r="O58" s="49" t="e">
        <f>IF($E58="posto/hora extra",0,IF(OR(E58="posto/dia",E58="posto/dia líder"),VLOOKUP($C58,'Indicadores Financeiros'!$A$107:$J$119,8,FALSE)+VLOOKUP($C58,'Indicadores Financeiros'!$A$107:$J$119,9,FALSE)+VLOOKUP($C58,'Indicadores Financeiros'!$A$107:$J$119,10,FALSE),IF('Indicadores Financeiros'!$J$91=0,0,(VLOOKUP($C58,'Indicadores Financeiros'!$A$107:$J$119,9,FALSE)+VLOOKUP('Relatório Custo'!$C58,'Indicadores Financeiros'!$A$107:$J$119,10,FALSE)+('Indicadores Financeiros'!$J$87*'Relatório Custo'!$H58)))))</f>
        <v>#N/A</v>
      </c>
      <c r="P58" s="49"/>
      <c r="Q58" s="81"/>
      <c r="R58" s="81"/>
      <c r="S58" s="82"/>
      <c r="T58" s="47"/>
      <c r="U58" s="83"/>
      <c r="V58" s="24"/>
      <c r="W58" s="91"/>
      <c r="X58" s="20"/>
      <c r="Y58" s="114"/>
      <c r="Z58" s="43"/>
      <c r="AA58" s="41"/>
      <c r="AB58" s="25"/>
      <c r="AC58" s="23"/>
      <c r="AD58" s="23"/>
      <c r="AE58" s="154"/>
      <c r="AF58" s="155"/>
      <c r="AG58" s="155"/>
      <c r="AH58" s="31"/>
      <c r="AI58" s="31"/>
      <c r="AJ58" s="31"/>
      <c r="AK58" s="31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</row>
    <row r="59" spans="1:346" s="26" customFormat="1">
      <c r="A59" s="21"/>
      <c r="B59" s="22"/>
      <c r="C59" s="4"/>
      <c r="D59" s="7"/>
      <c r="E59" s="7"/>
      <c r="F59" s="4"/>
      <c r="G59" s="4"/>
      <c r="H59" s="4"/>
      <c r="I59" s="77"/>
      <c r="J59" s="156"/>
      <c r="K59" s="77"/>
      <c r="L59" s="78"/>
      <c r="M59" s="78"/>
      <c r="N59" s="49"/>
      <c r="O59" s="49" t="e">
        <f>IF($E59="posto/hora extra",0,IF(OR(E59="posto/dia",E59="posto/dia líder"),VLOOKUP($C59,'Indicadores Financeiros'!$A$107:$J$119,8,FALSE)+VLOOKUP($C59,'Indicadores Financeiros'!$A$107:$J$119,9,FALSE)+VLOOKUP($C59,'Indicadores Financeiros'!$A$107:$J$119,10,FALSE),IF('Indicadores Financeiros'!$J$91=0,0,(VLOOKUP($C59,'Indicadores Financeiros'!$A$107:$J$119,9,FALSE)+VLOOKUP('Relatório Custo'!$C59,'Indicadores Financeiros'!$A$107:$J$119,10,FALSE)+('Indicadores Financeiros'!$J$87*'Relatório Custo'!$H59)))))</f>
        <v>#N/A</v>
      </c>
      <c r="P59" s="49"/>
      <c r="Q59" s="81"/>
      <c r="R59" s="81"/>
      <c r="S59" s="82"/>
      <c r="T59" s="47"/>
      <c r="U59" s="83"/>
      <c r="V59" s="24"/>
      <c r="W59" s="91"/>
      <c r="X59" s="20"/>
      <c r="Y59" s="114"/>
      <c r="Z59" s="43"/>
      <c r="AA59" s="41"/>
      <c r="AB59" s="25"/>
      <c r="AC59" s="23"/>
      <c r="AD59" s="23"/>
      <c r="AE59" s="154"/>
      <c r="AF59" s="155"/>
      <c r="AG59" s="155"/>
      <c r="AH59" s="31"/>
      <c r="AI59" s="31"/>
      <c r="AJ59" s="31"/>
      <c r="AK59" s="31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</row>
    <row r="60" spans="1:346" s="26" customFormat="1">
      <c r="A60" s="21"/>
      <c r="B60" s="22"/>
      <c r="C60" s="4"/>
      <c r="D60" s="7"/>
      <c r="E60" s="7"/>
      <c r="F60" s="4"/>
      <c r="G60" s="4"/>
      <c r="H60" s="4"/>
      <c r="I60" s="77"/>
      <c r="J60" s="156"/>
      <c r="K60" s="77"/>
      <c r="L60" s="78"/>
      <c r="M60" s="78"/>
      <c r="N60" s="49"/>
      <c r="O60" s="49" t="e">
        <f>IF($E60="posto/hora extra",0,IF(OR(E60="posto/dia",E60="posto/dia líder"),VLOOKUP($C60,'Indicadores Financeiros'!$A$107:$J$119,8,FALSE)+VLOOKUP($C60,'Indicadores Financeiros'!$A$107:$J$119,9,FALSE)+VLOOKUP($C60,'Indicadores Financeiros'!$A$107:$J$119,10,FALSE),IF('Indicadores Financeiros'!$J$91=0,0,(VLOOKUP($C60,'Indicadores Financeiros'!$A$107:$J$119,9,FALSE)+VLOOKUP('Relatório Custo'!$C60,'Indicadores Financeiros'!$A$107:$J$119,10,FALSE)+('Indicadores Financeiros'!$J$87*'Relatório Custo'!$H60)))))</f>
        <v>#N/A</v>
      </c>
      <c r="P60" s="49"/>
      <c r="Q60" s="81"/>
      <c r="R60" s="81"/>
      <c r="S60" s="82"/>
      <c r="T60" s="47"/>
      <c r="U60" s="83"/>
      <c r="V60" s="24"/>
      <c r="W60" s="91"/>
      <c r="X60" s="20"/>
      <c r="Y60" s="114"/>
      <c r="Z60" s="43"/>
      <c r="AA60" s="41"/>
      <c r="AB60" s="25"/>
      <c r="AC60" s="23"/>
      <c r="AD60" s="23"/>
      <c r="AE60" s="154"/>
      <c r="AF60" s="155"/>
      <c r="AG60" s="155"/>
      <c r="AH60" s="31"/>
      <c r="AI60" s="31"/>
      <c r="AJ60" s="31"/>
      <c r="AK60" s="31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</row>
    <row r="61" spans="1:346" s="26" customFormat="1">
      <c r="A61" s="21"/>
      <c r="B61" s="22"/>
      <c r="C61" s="4"/>
      <c r="D61" s="7"/>
      <c r="E61" s="7"/>
      <c r="F61" s="4"/>
      <c r="G61" s="4"/>
      <c r="H61" s="4"/>
      <c r="I61" s="77"/>
      <c r="J61" s="156"/>
      <c r="K61" s="77"/>
      <c r="L61" s="78"/>
      <c r="M61" s="78"/>
      <c r="N61" s="49"/>
      <c r="O61" s="49" t="e">
        <f>IF($E61="posto/hora extra",0,IF(OR(E61="posto/dia",E61="posto/dia líder"),VLOOKUP($C61,'Indicadores Financeiros'!$A$107:$J$119,8,FALSE)+VLOOKUP($C61,'Indicadores Financeiros'!$A$107:$J$119,9,FALSE)+VLOOKUP($C61,'Indicadores Financeiros'!$A$107:$J$119,10,FALSE),IF('Indicadores Financeiros'!$J$91=0,0,(VLOOKUP($C61,'Indicadores Financeiros'!$A$107:$J$119,9,FALSE)+VLOOKUP('Relatório Custo'!$C61,'Indicadores Financeiros'!$A$107:$J$119,10,FALSE)+('Indicadores Financeiros'!$J$87*'Relatório Custo'!$H61)))))</f>
        <v>#N/A</v>
      </c>
      <c r="P61" s="49"/>
      <c r="Q61" s="81"/>
      <c r="R61" s="81"/>
      <c r="S61" s="82"/>
      <c r="T61" s="47"/>
      <c r="U61" s="83"/>
      <c r="V61" s="24"/>
      <c r="W61" s="91"/>
      <c r="X61" s="20"/>
      <c r="Y61" s="114"/>
      <c r="Z61" s="43"/>
      <c r="AA61" s="41"/>
      <c r="AB61" s="25"/>
      <c r="AC61" s="23"/>
      <c r="AD61" s="23"/>
      <c r="AE61" s="154"/>
      <c r="AF61" s="155"/>
      <c r="AG61" s="155"/>
      <c r="AH61" s="31"/>
      <c r="AI61" s="31"/>
      <c r="AJ61" s="31"/>
      <c r="AK61" s="31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</row>
    <row r="62" spans="1:346" s="26" customFormat="1">
      <c r="A62" s="21"/>
      <c r="B62" s="22"/>
      <c r="C62" s="4"/>
      <c r="D62" s="7"/>
      <c r="E62" s="7"/>
      <c r="F62" s="4"/>
      <c r="G62" s="4"/>
      <c r="H62" s="4"/>
      <c r="I62" s="77"/>
      <c r="J62" s="156"/>
      <c r="K62" s="77"/>
      <c r="L62" s="78"/>
      <c r="M62" s="78"/>
      <c r="N62" s="49"/>
      <c r="O62" s="49" t="e">
        <f>IF($E62="posto/hora extra",0,IF(OR(E62="posto/dia",E62="posto/dia líder"),VLOOKUP($C62,'Indicadores Financeiros'!$A$107:$J$119,8,FALSE)+VLOOKUP($C62,'Indicadores Financeiros'!$A$107:$J$119,9,FALSE)+VLOOKUP($C62,'Indicadores Financeiros'!$A$107:$J$119,10,FALSE),IF('Indicadores Financeiros'!$J$91=0,0,(VLOOKUP($C62,'Indicadores Financeiros'!$A$107:$J$119,9,FALSE)+VLOOKUP('Relatório Custo'!$C62,'Indicadores Financeiros'!$A$107:$J$119,10,FALSE)+('Indicadores Financeiros'!$J$87*'Relatório Custo'!$H62)))))</f>
        <v>#N/A</v>
      </c>
      <c r="P62" s="49"/>
      <c r="Q62" s="81"/>
      <c r="R62" s="81"/>
      <c r="S62" s="82"/>
      <c r="T62" s="47"/>
      <c r="U62" s="83"/>
      <c r="V62" s="24"/>
      <c r="W62" s="91"/>
      <c r="X62" s="20"/>
      <c r="Y62" s="114"/>
      <c r="Z62" s="43"/>
      <c r="AA62" s="41"/>
      <c r="AB62" s="25"/>
      <c r="AC62" s="23"/>
      <c r="AD62" s="23"/>
      <c r="AE62" s="154"/>
      <c r="AF62" s="155"/>
      <c r="AG62" s="155"/>
      <c r="AH62" s="31"/>
      <c r="AI62" s="31"/>
      <c r="AJ62" s="31"/>
      <c r="AK62" s="31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</row>
    <row r="63" spans="1:346" s="26" customFormat="1">
      <c r="A63" s="21"/>
      <c r="B63" s="22"/>
      <c r="C63" s="4"/>
      <c r="D63" s="7"/>
      <c r="E63" s="7"/>
      <c r="F63" s="4"/>
      <c r="G63" s="4"/>
      <c r="H63" s="4"/>
      <c r="I63" s="77"/>
      <c r="J63" s="156"/>
      <c r="K63" s="77"/>
      <c r="L63" s="78"/>
      <c r="M63" s="78"/>
      <c r="N63" s="49"/>
      <c r="O63" s="49" t="e">
        <f>IF($E63="posto/hora extra",0,IF(OR(E63="posto/dia",E63="posto/dia líder"),VLOOKUP($C63,'Indicadores Financeiros'!$A$107:$J$119,8,FALSE)+VLOOKUP($C63,'Indicadores Financeiros'!$A$107:$J$119,9,FALSE)+VLOOKUP($C63,'Indicadores Financeiros'!$A$107:$J$119,10,FALSE),IF('Indicadores Financeiros'!$J$91=0,0,(VLOOKUP($C63,'Indicadores Financeiros'!$A$107:$J$119,9,FALSE)+VLOOKUP('Relatório Custo'!$C63,'Indicadores Financeiros'!$A$107:$J$119,10,FALSE)+('Indicadores Financeiros'!$J$87*'Relatório Custo'!$H63)))))</f>
        <v>#N/A</v>
      </c>
      <c r="P63" s="49"/>
      <c r="Q63" s="81"/>
      <c r="R63" s="81"/>
      <c r="S63" s="82"/>
      <c r="T63" s="47"/>
      <c r="U63" s="83"/>
      <c r="V63" s="24"/>
      <c r="W63" s="91"/>
      <c r="X63" s="20"/>
      <c r="Y63" s="114"/>
      <c r="Z63" s="43"/>
      <c r="AA63" s="41"/>
      <c r="AB63" s="25"/>
      <c r="AC63" s="23"/>
      <c r="AD63" s="23"/>
      <c r="AE63" s="154"/>
      <c r="AF63" s="155"/>
      <c r="AG63" s="155"/>
      <c r="AH63" s="31"/>
      <c r="AI63" s="31"/>
      <c r="AJ63" s="31"/>
      <c r="AK63" s="31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</row>
    <row r="64" spans="1:346" s="26" customFormat="1">
      <c r="A64" s="21"/>
      <c r="B64" s="22"/>
      <c r="C64" s="4"/>
      <c r="D64" s="7"/>
      <c r="E64" s="7"/>
      <c r="F64" s="4"/>
      <c r="G64" s="4"/>
      <c r="H64" s="4"/>
      <c r="I64" s="77"/>
      <c r="J64" s="156"/>
      <c r="K64" s="77"/>
      <c r="L64" s="78"/>
      <c r="M64" s="78"/>
      <c r="N64" s="49"/>
      <c r="O64" s="49" t="e">
        <f>IF($E64="posto/hora extra",0,IF(OR(E64="posto/dia",E64="posto/dia líder"),VLOOKUP($C64,'Indicadores Financeiros'!$A$107:$J$119,8,FALSE)+VLOOKUP($C64,'Indicadores Financeiros'!$A$107:$J$119,9,FALSE)+VLOOKUP($C64,'Indicadores Financeiros'!$A$107:$J$119,10,FALSE),IF('Indicadores Financeiros'!$J$91=0,0,(VLOOKUP($C64,'Indicadores Financeiros'!$A$107:$J$119,9,FALSE)+VLOOKUP('Relatório Custo'!$C64,'Indicadores Financeiros'!$A$107:$J$119,10,FALSE)+('Indicadores Financeiros'!$J$87*'Relatório Custo'!$H64)))))</f>
        <v>#N/A</v>
      </c>
      <c r="P64" s="49"/>
      <c r="Q64" s="81"/>
      <c r="R64" s="81"/>
      <c r="S64" s="82"/>
      <c r="T64" s="47"/>
      <c r="U64" s="83"/>
      <c r="V64" s="24"/>
      <c r="W64" s="91"/>
      <c r="X64" s="20"/>
      <c r="Y64" s="114"/>
      <c r="Z64" s="43"/>
      <c r="AA64" s="41"/>
      <c r="AB64" s="25"/>
      <c r="AC64" s="23"/>
      <c r="AD64" s="23"/>
      <c r="AE64" s="154"/>
      <c r="AF64" s="155"/>
      <c r="AG64" s="155"/>
      <c r="AH64" s="31"/>
      <c r="AI64" s="31"/>
      <c r="AJ64" s="31"/>
      <c r="AK64" s="31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</row>
    <row r="65" spans="1:346" s="26" customFormat="1">
      <c r="A65" s="21"/>
      <c r="B65" s="22"/>
      <c r="C65" s="4"/>
      <c r="D65" s="7"/>
      <c r="E65" s="7"/>
      <c r="F65" s="4"/>
      <c r="G65" s="4"/>
      <c r="H65" s="4"/>
      <c r="I65" s="77"/>
      <c r="J65" s="156"/>
      <c r="K65" s="77"/>
      <c r="L65" s="78"/>
      <c r="M65" s="78"/>
      <c r="N65" s="49"/>
      <c r="O65" s="49" t="e">
        <f>IF($E65="posto/hora extra",0,IF(OR(E65="posto/dia",E65="posto/dia líder"),VLOOKUP($C65,'Indicadores Financeiros'!$A$107:$J$119,8,FALSE)+VLOOKUP($C65,'Indicadores Financeiros'!$A$107:$J$119,9,FALSE)+VLOOKUP($C65,'Indicadores Financeiros'!$A$107:$J$119,10,FALSE),IF('Indicadores Financeiros'!$J$91=0,0,(VLOOKUP($C65,'Indicadores Financeiros'!$A$107:$J$119,9,FALSE)+VLOOKUP('Relatório Custo'!$C65,'Indicadores Financeiros'!$A$107:$J$119,10,FALSE)+('Indicadores Financeiros'!$J$87*'Relatório Custo'!$H65)))))</f>
        <v>#N/A</v>
      </c>
      <c r="P65" s="49"/>
      <c r="Q65" s="81"/>
      <c r="R65" s="81"/>
      <c r="S65" s="82"/>
      <c r="T65" s="47"/>
      <c r="U65" s="83"/>
      <c r="V65" s="24"/>
      <c r="W65" s="91"/>
      <c r="X65" s="20"/>
      <c r="Y65" s="114"/>
      <c r="Z65" s="43"/>
      <c r="AA65" s="41"/>
      <c r="AB65" s="25"/>
      <c r="AC65" s="23"/>
      <c r="AD65" s="23"/>
      <c r="AE65" s="154"/>
      <c r="AF65" s="155"/>
      <c r="AG65" s="155"/>
      <c r="AH65" s="31"/>
      <c r="AI65" s="31"/>
      <c r="AJ65" s="31"/>
      <c r="AK65" s="31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</row>
    <row r="66" spans="1:346" s="26" customFormat="1">
      <c r="A66" s="21"/>
      <c r="B66" s="22"/>
      <c r="C66" s="4"/>
      <c r="D66" s="7"/>
      <c r="E66" s="7"/>
      <c r="F66" s="4"/>
      <c r="G66" s="4"/>
      <c r="H66" s="4"/>
      <c r="I66" s="77"/>
      <c r="J66" s="156"/>
      <c r="K66" s="77"/>
      <c r="L66" s="78"/>
      <c r="M66" s="78"/>
      <c r="N66" s="49"/>
      <c r="O66" s="49" t="e">
        <f>IF($E66="posto/hora extra",0,IF(OR(E66="posto/dia",E66="posto/dia líder"),VLOOKUP($C66,'Indicadores Financeiros'!$A$107:$J$119,8,FALSE)+VLOOKUP($C66,'Indicadores Financeiros'!$A$107:$J$119,9,FALSE)+VLOOKUP($C66,'Indicadores Financeiros'!$A$107:$J$119,10,FALSE),IF('Indicadores Financeiros'!$J$91=0,0,(VLOOKUP($C66,'Indicadores Financeiros'!$A$107:$J$119,9,FALSE)+VLOOKUP('Relatório Custo'!$C66,'Indicadores Financeiros'!$A$107:$J$119,10,FALSE)+('Indicadores Financeiros'!$J$87*'Relatório Custo'!$H66)))))</f>
        <v>#N/A</v>
      </c>
      <c r="P66" s="49"/>
      <c r="Q66" s="81"/>
      <c r="R66" s="81"/>
      <c r="S66" s="82"/>
      <c r="T66" s="47"/>
      <c r="U66" s="83"/>
      <c r="V66" s="24"/>
      <c r="W66" s="91"/>
      <c r="X66" s="20"/>
      <c r="Y66" s="114"/>
      <c r="Z66" s="43"/>
      <c r="AA66" s="41"/>
      <c r="AB66" s="25"/>
      <c r="AC66" s="23"/>
      <c r="AD66" s="23"/>
      <c r="AE66" s="154"/>
      <c r="AF66" s="155"/>
      <c r="AG66" s="155"/>
      <c r="AH66" s="31"/>
      <c r="AI66" s="31"/>
      <c r="AJ66" s="31"/>
      <c r="AK66" s="31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</row>
    <row r="67" spans="1:346" s="26" customFormat="1">
      <c r="A67" s="21"/>
      <c r="B67" s="22"/>
      <c r="C67" s="4"/>
      <c r="D67" s="7"/>
      <c r="E67" s="7"/>
      <c r="F67" s="4"/>
      <c r="G67" s="4"/>
      <c r="H67" s="4"/>
      <c r="I67" s="77"/>
      <c r="J67" s="156"/>
      <c r="K67" s="77"/>
      <c r="L67" s="78"/>
      <c r="M67" s="78"/>
      <c r="N67" s="49"/>
      <c r="O67" s="49" t="e">
        <f>IF($E67="posto/hora extra",0,IF(OR(E67="posto/dia",E67="posto/dia líder"),VLOOKUP($C67,'Indicadores Financeiros'!$A$107:$J$119,8,FALSE)+VLOOKUP($C67,'Indicadores Financeiros'!$A$107:$J$119,9,FALSE)+VLOOKUP($C67,'Indicadores Financeiros'!$A$107:$J$119,10,FALSE),IF('Indicadores Financeiros'!$J$91=0,0,(VLOOKUP($C67,'Indicadores Financeiros'!$A$107:$J$119,9,FALSE)+VLOOKUP('Relatório Custo'!$C67,'Indicadores Financeiros'!$A$107:$J$119,10,FALSE)+('Indicadores Financeiros'!$J$87*'Relatório Custo'!$H67)))))</f>
        <v>#N/A</v>
      </c>
      <c r="P67" s="49"/>
      <c r="Q67" s="81"/>
      <c r="R67" s="81"/>
      <c r="S67" s="82"/>
      <c r="T67" s="47"/>
      <c r="U67" s="83"/>
      <c r="V67" s="24"/>
      <c r="W67" s="91"/>
      <c r="X67" s="20"/>
      <c r="Y67" s="114"/>
      <c r="Z67" s="43"/>
      <c r="AA67" s="41"/>
      <c r="AB67" s="25"/>
      <c r="AC67" s="23"/>
      <c r="AD67" s="23"/>
      <c r="AE67" s="154"/>
      <c r="AF67" s="155"/>
      <c r="AG67" s="155"/>
      <c r="AH67" s="31"/>
      <c r="AI67" s="31"/>
      <c r="AJ67" s="31"/>
      <c r="AK67" s="31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</row>
    <row r="68" spans="1:346" s="26" customFormat="1">
      <c r="A68" s="21"/>
      <c r="B68" s="22"/>
      <c r="C68" s="4"/>
      <c r="D68" s="7"/>
      <c r="E68" s="7"/>
      <c r="F68" s="4"/>
      <c r="G68" s="4"/>
      <c r="H68" s="4"/>
      <c r="I68" s="77"/>
      <c r="J68" s="156"/>
      <c r="K68" s="77"/>
      <c r="L68" s="78"/>
      <c r="M68" s="78"/>
      <c r="N68" s="49"/>
      <c r="O68" s="49" t="e">
        <f>IF($E68="posto/hora extra",0,IF(OR(E68="posto/dia",E68="posto/dia líder"),VLOOKUP($C68,'Indicadores Financeiros'!$A$107:$J$119,8,FALSE)+VLOOKUP($C68,'Indicadores Financeiros'!$A$107:$J$119,9,FALSE)+VLOOKUP($C68,'Indicadores Financeiros'!$A$107:$J$119,10,FALSE),IF('Indicadores Financeiros'!$J$91=0,0,(VLOOKUP($C68,'Indicadores Financeiros'!$A$107:$J$119,9,FALSE)+VLOOKUP('Relatório Custo'!$C68,'Indicadores Financeiros'!$A$107:$J$119,10,FALSE)+('Indicadores Financeiros'!$J$87*'Relatório Custo'!$H68)))))</f>
        <v>#N/A</v>
      </c>
      <c r="P68" s="49"/>
      <c r="Q68" s="81"/>
      <c r="R68" s="81"/>
      <c r="S68" s="82"/>
      <c r="T68" s="47"/>
      <c r="U68" s="83"/>
      <c r="V68" s="24"/>
      <c r="W68" s="91"/>
      <c r="X68" s="20"/>
      <c r="Y68" s="114"/>
      <c r="Z68" s="43"/>
      <c r="AA68" s="41"/>
      <c r="AB68" s="25"/>
      <c r="AC68" s="23"/>
      <c r="AD68" s="23"/>
      <c r="AE68" s="154"/>
      <c r="AF68" s="155"/>
      <c r="AG68" s="155"/>
      <c r="AH68" s="31"/>
      <c r="AI68" s="31"/>
      <c r="AJ68" s="31"/>
      <c r="AK68" s="31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</row>
    <row r="69" spans="1:346" s="26" customFormat="1">
      <c r="A69" s="21"/>
      <c r="B69" s="22"/>
      <c r="C69" s="4"/>
      <c r="D69" s="7"/>
      <c r="E69" s="7"/>
      <c r="F69" s="4"/>
      <c r="G69" s="4"/>
      <c r="H69" s="4"/>
      <c r="I69" s="77"/>
      <c r="J69" s="156"/>
      <c r="K69" s="77"/>
      <c r="L69" s="78"/>
      <c r="M69" s="78"/>
      <c r="N69" s="49"/>
      <c r="O69" s="49" t="e">
        <f>IF($E69="posto/hora extra",0,IF(OR(E69="posto/dia",E69="posto/dia líder"),VLOOKUP($C69,'Indicadores Financeiros'!$A$107:$J$119,8,FALSE)+VLOOKUP($C69,'Indicadores Financeiros'!$A$107:$J$119,9,FALSE)+VLOOKUP($C69,'Indicadores Financeiros'!$A$107:$J$119,10,FALSE),IF('Indicadores Financeiros'!$J$91=0,0,(VLOOKUP($C69,'Indicadores Financeiros'!$A$107:$J$119,9,FALSE)+VLOOKUP('Relatório Custo'!$C69,'Indicadores Financeiros'!$A$107:$J$119,10,FALSE)+('Indicadores Financeiros'!$J$87*'Relatório Custo'!$H69)))))</f>
        <v>#N/A</v>
      </c>
      <c r="P69" s="49"/>
      <c r="Q69" s="81"/>
      <c r="R69" s="81"/>
      <c r="S69" s="82"/>
      <c r="T69" s="47"/>
      <c r="U69" s="83"/>
      <c r="V69" s="24"/>
      <c r="W69" s="91"/>
      <c r="X69" s="20"/>
      <c r="Y69" s="114"/>
      <c r="Z69" s="43"/>
      <c r="AA69" s="41"/>
      <c r="AB69" s="25"/>
      <c r="AC69" s="23"/>
      <c r="AD69" s="23"/>
      <c r="AE69" s="154"/>
      <c r="AF69" s="155"/>
      <c r="AG69" s="155"/>
      <c r="AH69" s="31"/>
      <c r="AI69" s="31"/>
      <c r="AJ69" s="31"/>
      <c r="AK69" s="31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</row>
    <row r="70" spans="1:346" s="26" customFormat="1">
      <c r="A70" s="21"/>
      <c r="B70" s="22"/>
      <c r="C70" s="4"/>
      <c r="D70" s="7"/>
      <c r="E70" s="7"/>
      <c r="F70" s="4"/>
      <c r="G70" s="4"/>
      <c r="H70" s="4"/>
      <c r="I70" s="77"/>
      <c r="J70" s="156"/>
      <c r="K70" s="77"/>
      <c r="L70" s="78"/>
      <c r="M70" s="78"/>
      <c r="N70" s="49"/>
      <c r="O70" s="49" t="e">
        <f>IF($E70="posto/hora extra",0,IF(OR(E70="posto/dia",E70="posto/dia líder"),VLOOKUP($C70,'Indicadores Financeiros'!$A$107:$J$119,8,FALSE)+VLOOKUP($C70,'Indicadores Financeiros'!$A$107:$J$119,9,FALSE)+VLOOKUP($C70,'Indicadores Financeiros'!$A$107:$J$119,10,FALSE),IF('Indicadores Financeiros'!$J$91=0,0,(VLOOKUP($C70,'Indicadores Financeiros'!$A$107:$J$119,9,FALSE)+VLOOKUP('Relatório Custo'!$C70,'Indicadores Financeiros'!$A$107:$J$119,10,FALSE)+('Indicadores Financeiros'!$J$87*'Relatório Custo'!$H70)))))</f>
        <v>#N/A</v>
      </c>
      <c r="P70" s="49"/>
      <c r="Q70" s="81"/>
      <c r="R70" s="81"/>
      <c r="S70" s="82"/>
      <c r="T70" s="47"/>
      <c r="U70" s="83"/>
      <c r="V70" s="24"/>
      <c r="W70" s="91"/>
      <c r="X70" s="20"/>
      <c r="Y70" s="114"/>
      <c r="Z70" s="43"/>
      <c r="AA70" s="41"/>
      <c r="AB70" s="25"/>
      <c r="AC70" s="23"/>
      <c r="AD70" s="23"/>
      <c r="AE70" s="154"/>
      <c r="AF70" s="155"/>
      <c r="AG70" s="155"/>
      <c r="AH70" s="31"/>
      <c r="AI70" s="31"/>
      <c r="AJ70" s="31"/>
      <c r="AK70" s="31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</row>
    <row r="71" spans="1:346" s="26" customFormat="1">
      <c r="A71" s="21"/>
      <c r="B71" s="22"/>
      <c r="C71" s="4"/>
      <c r="D71" s="7"/>
      <c r="E71" s="7"/>
      <c r="F71" s="4"/>
      <c r="G71" s="4"/>
      <c r="H71" s="4"/>
      <c r="I71" s="77"/>
      <c r="J71" s="156"/>
      <c r="K71" s="77"/>
      <c r="L71" s="78"/>
      <c r="M71" s="78"/>
      <c r="N71" s="49"/>
      <c r="O71" s="49" t="e">
        <f>IF($E71="posto/hora extra",0,IF(OR(E71="posto/dia",E71="posto/dia líder"),VLOOKUP($C71,'Indicadores Financeiros'!$A$107:$J$119,8,FALSE)+VLOOKUP($C71,'Indicadores Financeiros'!$A$107:$J$119,9,FALSE)+VLOOKUP($C71,'Indicadores Financeiros'!$A$107:$J$119,10,FALSE),IF('Indicadores Financeiros'!$J$91=0,0,(VLOOKUP($C71,'Indicadores Financeiros'!$A$107:$J$119,9,FALSE)+VLOOKUP('Relatório Custo'!$C71,'Indicadores Financeiros'!$A$107:$J$119,10,FALSE)+('Indicadores Financeiros'!$J$87*'Relatório Custo'!$H71)))))</f>
        <v>#N/A</v>
      </c>
      <c r="P71" s="49"/>
      <c r="Q71" s="81"/>
      <c r="R71" s="81"/>
      <c r="S71" s="82"/>
      <c r="T71" s="47"/>
      <c r="U71" s="83"/>
      <c r="V71" s="24"/>
      <c r="W71" s="91"/>
      <c r="X71" s="20"/>
      <c r="Y71" s="114"/>
      <c r="Z71" s="43"/>
      <c r="AA71" s="41"/>
      <c r="AB71" s="25"/>
      <c r="AC71" s="23"/>
      <c r="AD71" s="23"/>
      <c r="AE71" s="154"/>
      <c r="AF71" s="155"/>
      <c r="AG71" s="155"/>
      <c r="AH71" s="31"/>
      <c r="AI71" s="31"/>
      <c r="AJ71" s="31"/>
      <c r="AK71" s="31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</row>
    <row r="72" spans="1:346" s="26" customFormat="1">
      <c r="A72" s="21"/>
      <c r="B72" s="22"/>
      <c r="C72" s="4"/>
      <c r="D72" s="7"/>
      <c r="E72" s="7"/>
      <c r="F72" s="4"/>
      <c r="G72" s="4"/>
      <c r="H72" s="4"/>
      <c r="I72" s="77"/>
      <c r="J72" s="156"/>
      <c r="K72" s="77"/>
      <c r="L72" s="78"/>
      <c r="M72" s="78"/>
      <c r="N72" s="49"/>
      <c r="O72" s="49" t="e">
        <f>IF($E72="posto/hora extra",0,IF(OR(E72="posto/dia",E72="posto/dia líder"),VLOOKUP($C72,'Indicadores Financeiros'!$A$107:$J$119,8,FALSE)+VLOOKUP($C72,'Indicadores Financeiros'!$A$107:$J$119,9,FALSE)+VLOOKUP($C72,'Indicadores Financeiros'!$A$107:$J$119,10,FALSE),IF('Indicadores Financeiros'!$J$91=0,0,(VLOOKUP($C72,'Indicadores Financeiros'!$A$107:$J$119,9,FALSE)+VLOOKUP('Relatório Custo'!$C72,'Indicadores Financeiros'!$A$107:$J$119,10,FALSE)+('Indicadores Financeiros'!$J$87*'Relatório Custo'!$H72)))))</f>
        <v>#N/A</v>
      </c>
      <c r="P72" s="49"/>
      <c r="Q72" s="81"/>
      <c r="R72" s="81"/>
      <c r="S72" s="82"/>
      <c r="T72" s="47"/>
      <c r="U72" s="83"/>
      <c r="V72" s="24"/>
      <c r="W72" s="91"/>
      <c r="X72" s="20"/>
      <c r="Y72" s="114"/>
      <c r="Z72" s="43"/>
      <c r="AA72" s="41"/>
      <c r="AB72" s="25"/>
      <c r="AC72" s="23"/>
      <c r="AD72" s="23"/>
      <c r="AE72" s="154"/>
      <c r="AF72" s="155"/>
      <c r="AG72" s="155"/>
      <c r="AH72" s="31"/>
      <c r="AI72" s="31"/>
      <c r="AJ72" s="31"/>
      <c r="AK72" s="31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</row>
    <row r="73" spans="1:346" s="26" customFormat="1">
      <c r="A73" s="21"/>
      <c r="B73" s="22"/>
      <c r="C73" s="4"/>
      <c r="D73" s="7"/>
      <c r="E73" s="7"/>
      <c r="F73" s="4"/>
      <c r="G73" s="4"/>
      <c r="H73" s="4"/>
      <c r="I73" s="77"/>
      <c r="J73" s="156"/>
      <c r="K73" s="77"/>
      <c r="L73" s="78"/>
      <c r="M73" s="78"/>
      <c r="N73" s="49"/>
      <c r="O73" s="49" t="e">
        <f>IF($E73="posto/hora extra",0,IF(OR(E73="posto/dia",E73="posto/dia líder"),VLOOKUP($C73,'Indicadores Financeiros'!$A$107:$J$119,8,FALSE)+VLOOKUP($C73,'Indicadores Financeiros'!$A$107:$J$119,9,FALSE)+VLOOKUP($C73,'Indicadores Financeiros'!$A$107:$J$119,10,FALSE),IF('Indicadores Financeiros'!$J$91=0,0,(VLOOKUP($C73,'Indicadores Financeiros'!$A$107:$J$119,9,FALSE)+VLOOKUP('Relatório Custo'!$C73,'Indicadores Financeiros'!$A$107:$J$119,10,FALSE)+('Indicadores Financeiros'!$J$87*'Relatório Custo'!$H73)))))</f>
        <v>#N/A</v>
      </c>
      <c r="P73" s="49"/>
      <c r="Q73" s="81"/>
      <c r="R73" s="81"/>
      <c r="S73" s="82"/>
      <c r="T73" s="47"/>
      <c r="U73" s="83"/>
      <c r="V73" s="24"/>
      <c r="W73" s="91"/>
      <c r="X73" s="20"/>
      <c r="Y73" s="114"/>
      <c r="Z73" s="43"/>
      <c r="AA73" s="41"/>
      <c r="AB73" s="25"/>
      <c r="AC73" s="23"/>
      <c r="AD73" s="23"/>
      <c r="AE73" s="154"/>
      <c r="AF73" s="155"/>
      <c r="AG73" s="155"/>
      <c r="AH73" s="31"/>
      <c r="AI73" s="31"/>
      <c r="AJ73" s="31"/>
      <c r="AK73" s="31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</row>
    <row r="74" spans="1:346" s="26" customFormat="1">
      <c r="A74" s="21"/>
      <c r="B74" s="22"/>
      <c r="C74" s="4"/>
      <c r="D74" s="7"/>
      <c r="E74" s="7"/>
      <c r="F74" s="4"/>
      <c r="G74" s="4"/>
      <c r="H74" s="4"/>
      <c r="I74" s="77"/>
      <c r="J74" s="156"/>
      <c r="K74" s="77"/>
      <c r="L74" s="78"/>
      <c r="M74" s="78"/>
      <c r="N74" s="49"/>
      <c r="O74" s="49" t="e">
        <f>IF($E74="posto/hora extra",0,IF(OR(E74="posto/dia",E74="posto/dia líder"),VLOOKUP($C74,'Indicadores Financeiros'!$A$107:$J$119,8,FALSE)+VLOOKUP($C74,'Indicadores Financeiros'!$A$107:$J$119,9,FALSE)+VLOOKUP($C74,'Indicadores Financeiros'!$A$107:$J$119,10,FALSE),IF('Indicadores Financeiros'!$J$91=0,0,(VLOOKUP($C74,'Indicadores Financeiros'!$A$107:$J$119,9,FALSE)+VLOOKUP('Relatório Custo'!$C74,'Indicadores Financeiros'!$A$107:$J$119,10,FALSE)+('Indicadores Financeiros'!$J$87*'Relatório Custo'!$H74)))))</f>
        <v>#N/A</v>
      </c>
      <c r="P74" s="49"/>
      <c r="Q74" s="81"/>
      <c r="R74" s="81"/>
      <c r="S74" s="82"/>
      <c r="T74" s="47"/>
      <c r="U74" s="83"/>
      <c r="V74" s="24"/>
      <c r="W74" s="91"/>
      <c r="X74" s="20"/>
      <c r="Y74" s="114"/>
      <c r="Z74" s="43"/>
      <c r="AA74" s="41"/>
      <c r="AB74" s="25"/>
      <c r="AC74" s="23"/>
      <c r="AD74" s="23"/>
      <c r="AE74" s="154"/>
      <c r="AF74" s="155"/>
      <c r="AG74" s="155"/>
      <c r="AH74" s="31"/>
      <c r="AI74" s="31"/>
      <c r="AJ74" s="31"/>
      <c r="AK74" s="31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</row>
    <row r="75" spans="1:346" s="26" customFormat="1">
      <c r="A75" s="21"/>
      <c r="B75" s="22"/>
      <c r="C75" s="4"/>
      <c r="D75" s="7"/>
      <c r="E75" s="7"/>
      <c r="F75" s="4"/>
      <c r="G75" s="4"/>
      <c r="H75" s="4"/>
      <c r="I75" s="77"/>
      <c r="J75" s="156"/>
      <c r="K75" s="77"/>
      <c r="L75" s="78"/>
      <c r="M75" s="78"/>
      <c r="N75" s="49"/>
      <c r="O75" s="49" t="e">
        <f>IF($E75="posto/hora extra",0,IF(OR(E75="posto/dia",E75="posto/dia líder"),VLOOKUP($C75,'Indicadores Financeiros'!$A$107:$J$119,8,FALSE)+VLOOKUP($C75,'Indicadores Financeiros'!$A$107:$J$119,9,FALSE)+VLOOKUP($C75,'Indicadores Financeiros'!$A$107:$J$119,10,FALSE),IF('Indicadores Financeiros'!$J$91=0,0,(VLOOKUP($C75,'Indicadores Financeiros'!$A$107:$J$119,9,FALSE)+VLOOKUP('Relatório Custo'!$C75,'Indicadores Financeiros'!$A$107:$J$119,10,FALSE)+('Indicadores Financeiros'!$J$87*'Relatório Custo'!$H75)))))</f>
        <v>#N/A</v>
      </c>
      <c r="P75" s="49"/>
      <c r="Q75" s="81"/>
      <c r="R75" s="81"/>
      <c r="S75" s="82"/>
      <c r="T75" s="47"/>
      <c r="U75" s="83"/>
      <c r="V75" s="24"/>
      <c r="W75" s="91"/>
      <c r="X75" s="20"/>
      <c r="Y75" s="114"/>
      <c r="Z75" s="43"/>
      <c r="AA75" s="41"/>
      <c r="AB75" s="25"/>
      <c r="AC75" s="23"/>
      <c r="AD75" s="23"/>
      <c r="AE75" s="154"/>
      <c r="AF75" s="155"/>
      <c r="AG75" s="155"/>
      <c r="AH75" s="31"/>
      <c r="AI75" s="31"/>
      <c r="AJ75" s="31"/>
      <c r="AK75" s="31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</row>
    <row r="76" spans="1:346" s="26" customFormat="1">
      <c r="A76" s="21"/>
      <c r="B76" s="22"/>
      <c r="C76" s="4"/>
      <c r="D76" s="7"/>
      <c r="E76" s="7"/>
      <c r="F76" s="4"/>
      <c r="G76" s="4"/>
      <c r="H76" s="4"/>
      <c r="I76" s="77"/>
      <c r="J76" s="156"/>
      <c r="K76" s="77"/>
      <c r="L76" s="78"/>
      <c r="M76" s="78"/>
      <c r="N76" s="49"/>
      <c r="O76" s="49" t="e">
        <f>IF($E76="posto/hora extra",0,IF(OR(E76="posto/dia",E76="posto/dia líder"),VLOOKUP($C76,'Indicadores Financeiros'!$A$107:$J$119,8,FALSE)+VLOOKUP($C76,'Indicadores Financeiros'!$A$107:$J$119,9,FALSE)+VLOOKUP($C76,'Indicadores Financeiros'!$A$107:$J$119,10,FALSE),IF('Indicadores Financeiros'!$J$91=0,0,(VLOOKUP($C76,'Indicadores Financeiros'!$A$107:$J$119,9,FALSE)+VLOOKUP('Relatório Custo'!$C76,'Indicadores Financeiros'!$A$107:$J$119,10,FALSE)+('Indicadores Financeiros'!$J$87*'Relatório Custo'!$H76)))))</f>
        <v>#N/A</v>
      </c>
      <c r="P76" s="49"/>
      <c r="Q76" s="81"/>
      <c r="R76" s="81"/>
      <c r="S76" s="82"/>
      <c r="T76" s="47"/>
      <c r="U76" s="83"/>
      <c r="V76" s="24"/>
      <c r="W76" s="91"/>
      <c r="X76" s="20"/>
      <c r="Y76" s="114"/>
      <c r="Z76" s="43"/>
      <c r="AA76" s="41"/>
      <c r="AB76" s="25"/>
      <c r="AC76" s="23"/>
      <c r="AD76" s="23"/>
      <c r="AE76" s="154"/>
      <c r="AF76" s="155"/>
      <c r="AG76" s="155"/>
      <c r="AH76" s="31"/>
      <c r="AI76" s="31"/>
      <c r="AJ76" s="31"/>
      <c r="AK76" s="31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</row>
    <row r="77" spans="1:346" s="26" customFormat="1">
      <c r="A77" s="21"/>
      <c r="B77" s="22"/>
      <c r="C77" s="4"/>
      <c r="D77" s="7"/>
      <c r="E77" s="7"/>
      <c r="F77" s="4"/>
      <c r="G77" s="4"/>
      <c r="H77" s="4"/>
      <c r="I77" s="77"/>
      <c r="J77" s="156"/>
      <c r="K77" s="77"/>
      <c r="L77" s="78"/>
      <c r="M77" s="78"/>
      <c r="N77" s="49"/>
      <c r="O77" s="49" t="e">
        <f>IF($E77="posto/hora extra",0,IF(OR(E77="posto/dia",E77="posto/dia líder"),VLOOKUP($C77,'Indicadores Financeiros'!$A$107:$J$119,8,FALSE)+VLOOKUP($C77,'Indicadores Financeiros'!$A$107:$J$119,9,FALSE)+VLOOKUP($C77,'Indicadores Financeiros'!$A$107:$J$119,10,FALSE),IF('Indicadores Financeiros'!$J$91=0,0,(VLOOKUP($C77,'Indicadores Financeiros'!$A$107:$J$119,9,FALSE)+VLOOKUP('Relatório Custo'!$C77,'Indicadores Financeiros'!$A$107:$J$119,10,FALSE)+('Indicadores Financeiros'!$J$87*'Relatório Custo'!$H77)))))</f>
        <v>#N/A</v>
      </c>
      <c r="P77" s="49"/>
      <c r="Q77" s="81"/>
      <c r="R77" s="81"/>
      <c r="S77" s="82"/>
      <c r="T77" s="47"/>
      <c r="U77" s="83"/>
      <c r="V77" s="24"/>
      <c r="W77" s="91"/>
      <c r="X77" s="20"/>
      <c r="Y77" s="114"/>
      <c r="Z77" s="43"/>
      <c r="AA77" s="41"/>
      <c r="AB77" s="25"/>
      <c r="AC77" s="23"/>
      <c r="AD77" s="23"/>
      <c r="AE77" s="154"/>
      <c r="AF77" s="155"/>
      <c r="AG77" s="155"/>
      <c r="AH77" s="31"/>
      <c r="AI77" s="31"/>
      <c r="AJ77" s="31"/>
      <c r="AK77" s="31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</row>
    <row r="78" spans="1:346" s="26" customFormat="1">
      <c r="A78" s="21"/>
      <c r="B78" s="22"/>
      <c r="C78" s="4"/>
      <c r="D78" s="7"/>
      <c r="E78" s="7"/>
      <c r="F78" s="4"/>
      <c r="G78" s="4"/>
      <c r="H78" s="4"/>
      <c r="I78" s="77"/>
      <c r="J78" s="156"/>
      <c r="K78" s="77"/>
      <c r="L78" s="78"/>
      <c r="M78" s="78"/>
      <c r="N78" s="49"/>
      <c r="O78" s="49" t="e">
        <f>IF($E78="posto/hora extra",0,IF(OR(E78="posto/dia",E78="posto/dia líder"),VLOOKUP($C78,'Indicadores Financeiros'!$A$107:$J$119,8,FALSE)+VLOOKUP($C78,'Indicadores Financeiros'!$A$107:$J$119,9,FALSE)+VLOOKUP($C78,'Indicadores Financeiros'!$A$107:$J$119,10,FALSE),IF('Indicadores Financeiros'!$J$91=0,0,(VLOOKUP($C78,'Indicadores Financeiros'!$A$107:$J$119,9,FALSE)+VLOOKUP('Relatório Custo'!$C78,'Indicadores Financeiros'!$A$107:$J$119,10,FALSE)+('Indicadores Financeiros'!$J$87*'Relatório Custo'!$H78)))))</f>
        <v>#N/A</v>
      </c>
      <c r="P78" s="49"/>
      <c r="Q78" s="81"/>
      <c r="R78" s="81"/>
      <c r="S78" s="82"/>
      <c r="T78" s="47"/>
      <c r="U78" s="83"/>
      <c r="V78" s="24"/>
      <c r="W78" s="91"/>
      <c r="X78" s="20"/>
      <c r="Y78" s="114"/>
      <c r="Z78" s="43"/>
      <c r="AA78" s="41"/>
      <c r="AB78" s="25"/>
      <c r="AC78" s="23"/>
      <c r="AD78" s="23"/>
      <c r="AE78" s="154"/>
      <c r="AF78" s="155"/>
      <c r="AG78" s="155"/>
      <c r="AH78" s="31"/>
      <c r="AI78" s="31"/>
      <c r="AJ78" s="31"/>
      <c r="AK78" s="31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</row>
    <row r="79" spans="1:346" s="26" customFormat="1">
      <c r="A79" s="21"/>
      <c r="B79" s="22"/>
      <c r="C79" s="4"/>
      <c r="D79" s="7"/>
      <c r="E79" s="7"/>
      <c r="F79" s="4"/>
      <c r="G79" s="4"/>
      <c r="H79" s="4"/>
      <c r="I79" s="77"/>
      <c r="J79" s="156"/>
      <c r="K79" s="77"/>
      <c r="L79" s="78"/>
      <c r="M79" s="78"/>
      <c r="N79" s="49"/>
      <c r="O79" s="49" t="e">
        <f>IF($E79="posto/hora extra",0,IF(OR(E79="posto/dia",E79="posto/dia líder"),VLOOKUP($C79,'Indicadores Financeiros'!$A$107:$J$119,8,FALSE)+VLOOKUP($C79,'Indicadores Financeiros'!$A$107:$J$119,9,FALSE)+VLOOKUP($C79,'Indicadores Financeiros'!$A$107:$J$119,10,FALSE),IF('Indicadores Financeiros'!$J$91=0,0,(VLOOKUP($C79,'Indicadores Financeiros'!$A$107:$J$119,9,FALSE)+VLOOKUP('Relatório Custo'!$C79,'Indicadores Financeiros'!$A$107:$J$119,10,FALSE)+('Indicadores Financeiros'!$J$87*'Relatório Custo'!$H79)))))</f>
        <v>#N/A</v>
      </c>
      <c r="P79" s="49"/>
      <c r="Q79" s="81"/>
      <c r="R79" s="81"/>
      <c r="S79" s="82"/>
      <c r="T79" s="47"/>
      <c r="U79" s="83"/>
      <c r="V79" s="24"/>
      <c r="W79" s="91"/>
      <c r="X79" s="20"/>
      <c r="Y79" s="114"/>
      <c r="Z79" s="43"/>
      <c r="AA79" s="41"/>
      <c r="AB79" s="25"/>
      <c r="AC79" s="23"/>
      <c r="AD79" s="23"/>
      <c r="AE79" s="154"/>
      <c r="AF79" s="155"/>
      <c r="AG79" s="155"/>
      <c r="AH79" s="31"/>
      <c r="AI79" s="31"/>
      <c r="AJ79" s="31"/>
      <c r="AK79" s="31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</row>
    <row r="80" spans="1:346" s="26" customFormat="1">
      <c r="A80" s="21"/>
      <c r="B80" s="22"/>
      <c r="C80" s="4"/>
      <c r="D80" s="7"/>
      <c r="E80" s="7"/>
      <c r="F80" s="4"/>
      <c r="G80" s="4"/>
      <c r="H80" s="4"/>
      <c r="I80" s="77"/>
      <c r="J80" s="156"/>
      <c r="K80" s="77"/>
      <c r="L80" s="78"/>
      <c r="M80" s="78"/>
      <c r="N80" s="49"/>
      <c r="O80" s="49" t="e">
        <f>IF($E80="posto/hora extra",0,IF(OR(E80="posto/dia",E80="posto/dia líder"),VLOOKUP($C80,'Indicadores Financeiros'!$A$107:$J$119,8,FALSE)+VLOOKUP($C80,'Indicadores Financeiros'!$A$107:$J$119,9,FALSE)+VLOOKUP($C80,'Indicadores Financeiros'!$A$107:$J$119,10,FALSE),IF('Indicadores Financeiros'!$J$91=0,0,(VLOOKUP($C80,'Indicadores Financeiros'!$A$107:$J$119,9,FALSE)+VLOOKUP('Relatório Custo'!$C80,'Indicadores Financeiros'!$A$107:$J$119,10,FALSE)+('Indicadores Financeiros'!$J$87*'Relatório Custo'!$H80)))))</f>
        <v>#N/A</v>
      </c>
      <c r="P80" s="49"/>
      <c r="Q80" s="81"/>
      <c r="R80" s="81"/>
      <c r="S80" s="82"/>
      <c r="T80" s="47"/>
      <c r="U80" s="83"/>
      <c r="V80" s="24"/>
      <c r="W80" s="91"/>
      <c r="X80" s="20"/>
      <c r="Y80" s="114"/>
      <c r="Z80" s="43"/>
      <c r="AA80" s="41"/>
      <c r="AB80" s="25"/>
      <c r="AC80" s="23"/>
      <c r="AD80" s="23"/>
      <c r="AE80" s="154"/>
      <c r="AF80" s="155"/>
      <c r="AG80" s="155"/>
      <c r="AH80" s="31"/>
      <c r="AI80" s="31"/>
      <c r="AJ80" s="31"/>
      <c r="AK80" s="31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</row>
    <row r="81" spans="1:346" s="26" customFormat="1">
      <c r="A81" s="21"/>
      <c r="B81" s="22"/>
      <c r="C81" s="4"/>
      <c r="D81" s="7"/>
      <c r="E81" s="7"/>
      <c r="F81" s="4"/>
      <c r="G81" s="4"/>
      <c r="H81" s="4"/>
      <c r="I81" s="77"/>
      <c r="J81" s="156"/>
      <c r="K81" s="77"/>
      <c r="L81" s="78"/>
      <c r="M81" s="78"/>
      <c r="N81" s="49"/>
      <c r="O81" s="49" t="e">
        <f>IF($E81="posto/hora extra",0,IF(OR(E81="posto/dia",E81="posto/dia líder"),VLOOKUP($C81,'Indicadores Financeiros'!$A$107:$J$119,8,FALSE)+VLOOKUP($C81,'Indicadores Financeiros'!$A$107:$J$119,9,FALSE)+VLOOKUP($C81,'Indicadores Financeiros'!$A$107:$J$119,10,FALSE),IF('Indicadores Financeiros'!$J$91=0,0,(VLOOKUP($C81,'Indicadores Financeiros'!$A$107:$J$119,9,FALSE)+VLOOKUP('Relatório Custo'!$C81,'Indicadores Financeiros'!$A$107:$J$119,10,FALSE)+('Indicadores Financeiros'!$J$87*'Relatório Custo'!$H81)))))</f>
        <v>#N/A</v>
      </c>
      <c r="P81" s="49"/>
      <c r="Q81" s="81"/>
      <c r="R81" s="81"/>
      <c r="S81" s="82"/>
      <c r="T81" s="47"/>
      <c r="U81" s="83"/>
      <c r="V81" s="24"/>
      <c r="W81" s="91"/>
      <c r="X81" s="20"/>
      <c r="Y81" s="114"/>
      <c r="Z81" s="43"/>
      <c r="AA81" s="41"/>
      <c r="AB81" s="25"/>
      <c r="AC81" s="23"/>
      <c r="AD81" s="23"/>
      <c r="AE81" s="154"/>
      <c r="AF81" s="155"/>
      <c r="AG81" s="155"/>
      <c r="AH81" s="31"/>
      <c r="AI81" s="31"/>
      <c r="AJ81" s="31"/>
      <c r="AK81" s="31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</row>
    <row r="82" spans="1:346" s="26" customFormat="1">
      <c r="A82" s="21"/>
      <c r="B82" s="22"/>
      <c r="C82" s="4"/>
      <c r="D82" s="7"/>
      <c r="E82" s="7"/>
      <c r="F82" s="4"/>
      <c r="G82" s="4"/>
      <c r="H82" s="4"/>
      <c r="I82" s="77"/>
      <c r="J82" s="156"/>
      <c r="K82" s="77"/>
      <c r="L82" s="78"/>
      <c r="M82" s="78"/>
      <c r="N82" s="49"/>
      <c r="O82" s="49" t="e">
        <f>IF($E82="posto/hora extra",0,IF(OR(E82="posto/dia",E82="posto/dia líder"),VLOOKUP($C82,'Indicadores Financeiros'!$A$107:$J$119,8,FALSE)+VLOOKUP($C82,'Indicadores Financeiros'!$A$107:$J$119,9,FALSE)+VLOOKUP($C82,'Indicadores Financeiros'!$A$107:$J$119,10,FALSE),IF('Indicadores Financeiros'!$J$91=0,0,(VLOOKUP($C82,'Indicadores Financeiros'!$A$107:$J$119,9,FALSE)+VLOOKUP('Relatório Custo'!$C82,'Indicadores Financeiros'!$A$107:$J$119,10,FALSE)+('Indicadores Financeiros'!$J$87*'Relatório Custo'!$H82)))))</f>
        <v>#N/A</v>
      </c>
      <c r="P82" s="49"/>
      <c r="Q82" s="81"/>
      <c r="R82" s="81"/>
      <c r="S82" s="82"/>
      <c r="T82" s="47"/>
      <c r="U82" s="83"/>
      <c r="V82" s="24"/>
      <c r="W82" s="91"/>
      <c r="X82" s="20"/>
      <c r="Y82" s="114"/>
      <c r="Z82" s="43"/>
      <c r="AA82" s="41"/>
      <c r="AB82" s="25"/>
      <c r="AC82" s="23"/>
      <c r="AD82" s="23"/>
      <c r="AE82" s="154"/>
      <c r="AF82" s="155"/>
      <c r="AG82" s="155"/>
      <c r="AH82" s="31"/>
      <c r="AI82" s="31"/>
      <c r="AJ82" s="31"/>
      <c r="AK82" s="31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</row>
    <row r="83" spans="1:346" s="26" customFormat="1">
      <c r="A83" s="21"/>
      <c r="B83" s="22"/>
      <c r="C83" s="4"/>
      <c r="D83" s="7"/>
      <c r="E83" s="7"/>
      <c r="F83" s="4"/>
      <c r="G83" s="4"/>
      <c r="H83" s="4"/>
      <c r="I83" s="77"/>
      <c r="J83" s="156"/>
      <c r="K83" s="77"/>
      <c r="L83" s="78"/>
      <c r="M83" s="78"/>
      <c r="N83" s="49"/>
      <c r="O83" s="49" t="e">
        <f>IF($E83="posto/hora extra",0,IF(OR(E83="posto/dia",E83="posto/dia líder"),VLOOKUP($C83,'Indicadores Financeiros'!$A$107:$J$119,8,FALSE)+VLOOKUP($C83,'Indicadores Financeiros'!$A$107:$J$119,9,FALSE)+VLOOKUP($C83,'Indicadores Financeiros'!$A$107:$J$119,10,FALSE),IF('Indicadores Financeiros'!$J$91=0,0,(VLOOKUP($C83,'Indicadores Financeiros'!$A$107:$J$119,9,FALSE)+VLOOKUP('Relatório Custo'!$C83,'Indicadores Financeiros'!$A$107:$J$119,10,FALSE)+('Indicadores Financeiros'!$J$87*'Relatório Custo'!$H83)))))</f>
        <v>#N/A</v>
      </c>
      <c r="P83" s="49"/>
      <c r="Q83" s="81"/>
      <c r="R83" s="81"/>
      <c r="S83" s="82"/>
      <c r="T83" s="47"/>
      <c r="U83" s="83"/>
      <c r="V83" s="24"/>
      <c r="W83" s="91"/>
      <c r="X83" s="20"/>
      <c r="Y83" s="114"/>
      <c r="Z83" s="43"/>
      <c r="AA83" s="41"/>
      <c r="AB83" s="25"/>
      <c r="AC83" s="23"/>
      <c r="AD83" s="23"/>
      <c r="AE83" s="154"/>
      <c r="AF83" s="155"/>
      <c r="AG83" s="155"/>
      <c r="AH83" s="31"/>
      <c r="AI83" s="31"/>
      <c r="AJ83" s="31"/>
      <c r="AK83" s="31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</row>
    <row r="84" spans="1:346" s="26" customFormat="1">
      <c r="A84" s="21"/>
      <c r="B84" s="22"/>
      <c r="C84" s="4"/>
      <c r="D84" s="7"/>
      <c r="E84" s="7"/>
      <c r="F84" s="4"/>
      <c r="G84" s="4"/>
      <c r="H84" s="4"/>
      <c r="I84" s="77"/>
      <c r="J84" s="156"/>
      <c r="K84" s="77"/>
      <c r="L84" s="78"/>
      <c r="M84" s="78"/>
      <c r="N84" s="49"/>
      <c r="O84" s="49" t="e">
        <f>IF($E84="posto/hora extra",0,IF(OR(E84="posto/dia",E84="posto/dia líder"),VLOOKUP($C84,'Indicadores Financeiros'!$A$107:$J$119,8,FALSE)+VLOOKUP($C84,'Indicadores Financeiros'!$A$107:$J$119,9,FALSE)+VLOOKUP($C84,'Indicadores Financeiros'!$A$107:$J$119,10,FALSE),IF('Indicadores Financeiros'!$J$91=0,0,(VLOOKUP($C84,'Indicadores Financeiros'!$A$107:$J$119,9,FALSE)+VLOOKUP('Relatório Custo'!$C84,'Indicadores Financeiros'!$A$107:$J$119,10,FALSE)+('Indicadores Financeiros'!$J$87*'Relatório Custo'!$H84)))))</f>
        <v>#N/A</v>
      </c>
      <c r="P84" s="49"/>
      <c r="Q84" s="81"/>
      <c r="R84" s="81"/>
      <c r="S84" s="82"/>
      <c r="T84" s="47"/>
      <c r="U84" s="83"/>
      <c r="V84" s="24"/>
      <c r="W84" s="91"/>
      <c r="X84" s="20"/>
      <c r="Y84" s="114"/>
      <c r="Z84" s="43"/>
      <c r="AA84" s="41"/>
      <c r="AB84" s="25"/>
      <c r="AC84" s="23"/>
      <c r="AD84" s="23"/>
      <c r="AE84" s="154"/>
      <c r="AF84" s="155"/>
      <c r="AG84" s="155"/>
      <c r="AH84" s="31"/>
      <c r="AI84" s="31"/>
      <c r="AJ84" s="31"/>
      <c r="AK84" s="31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</row>
    <row r="85" spans="1:346" s="26" customFormat="1">
      <c r="A85" s="21"/>
      <c r="B85" s="22"/>
      <c r="C85" s="4"/>
      <c r="D85" s="7"/>
      <c r="E85" s="7"/>
      <c r="F85" s="4"/>
      <c r="G85" s="4"/>
      <c r="H85" s="4"/>
      <c r="I85" s="77"/>
      <c r="J85" s="156"/>
      <c r="K85" s="77"/>
      <c r="L85" s="78"/>
      <c r="M85" s="78"/>
      <c r="N85" s="49"/>
      <c r="O85" s="49" t="e">
        <f>IF($E85="posto/hora extra",0,IF(OR(E85="posto/dia",E85="posto/dia líder"),VLOOKUP($C85,'Indicadores Financeiros'!$A$107:$J$119,8,FALSE)+VLOOKUP($C85,'Indicadores Financeiros'!$A$107:$J$119,9,FALSE)+VLOOKUP($C85,'Indicadores Financeiros'!$A$107:$J$119,10,FALSE),IF('Indicadores Financeiros'!$J$91=0,0,(VLOOKUP($C85,'Indicadores Financeiros'!$A$107:$J$119,9,FALSE)+VLOOKUP('Relatório Custo'!$C85,'Indicadores Financeiros'!$A$107:$J$119,10,FALSE)+('Indicadores Financeiros'!$J$87*'Relatório Custo'!$H85)))))</f>
        <v>#N/A</v>
      </c>
      <c r="P85" s="49"/>
      <c r="Q85" s="81"/>
      <c r="R85" s="81"/>
      <c r="S85" s="82"/>
      <c r="T85" s="47"/>
      <c r="U85" s="83"/>
      <c r="V85" s="24"/>
      <c r="W85" s="91"/>
      <c r="X85" s="20"/>
      <c r="Y85" s="114"/>
      <c r="Z85" s="43"/>
      <c r="AA85" s="41"/>
      <c r="AB85" s="25"/>
      <c r="AC85" s="23"/>
      <c r="AD85" s="23"/>
      <c r="AE85" s="154"/>
      <c r="AF85" s="155"/>
      <c r="AG85" s="155"/>
      <c r="AH85" s="31"/>
      <c r="AI85" s="31"/>
      <c r="AJ85" s="31"/>
      <c r="AK85" s="31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</row>
    <row r="86" spans="1:346" s="26" customFormat="1">
      <c r="A86" s="21"/>
      <c r="B86" s="22"/>
      <c r="C86" s="4"/>
      <c r="D86" s="7"/>
      <c r="E86" s="7"/>
      <c r="F86" s="4"/>
      <c r="G86" s="4"/>
      <c r="H86" s="4"/>
      <c r="I86" s="77"/>
      <c r="J86" s="156"/>
      <c r="K86" s="77"/>
      <c r="L86" s="78"/>
      <c r="M86" s="78"/>
      <c r="N86" s="49"/>
      <c r="O86" s="49" t="e">
        <f>IF($E86="posto/hora extra",0,IF(OR(E86="posto/dia",E86="posto/dia líder"),VLOOKUP($C86,'Indicadores Financeiros'!$A$107:$J$119,8,FALSE)+VLOOKUP($C86,'Indicadores Financeiros'!$A$107:$J$119,9,FALSE)+VLOOKUP($C86,'Indicadores Financeiros'!$A$107:$J$119,10,FALSE),IF('Indicadores Financeiros'!$J$91=0,0,(VLOOKUP($C86,'Indicadores Financeiros'!$A$107:$J$119,9,FALSE)+VLOOKUP('Relatório Custo'!$C86,'Indicadores Financeiros'!$A$107:$J$119,10,FALSE)+('Indicadores Financeiros'!$J$87*'Relatório Custo'!$H86)))))</f>
        <v>#N/A</v>
      </c>
      <c r="P86" s="49"/>
      <c r="Q86" s="81"/>
      <c r="R86" s="81"/>
      <c r="S86" s="82"/>
      <c r="T86" s="47"/>
      <c r="U86" s="83"/>
      <c r="V86" s="24"/>
      <c r="W86" s="91"/>
      <c r="X86" s="20"/>
      <c r="Y86" s="114"/>
      <c r="Z86" s="43"/>
      <c r="AA86" s="41"/>
      <c r="AB86" s="25"/>
      <c r="AC86" s="23"/>
      <c r="AD86" s="23"/>
      <c r="AE86" s="154"/>
      <c r="AF86" s="155"/>
      <c r="AG86" s="155"/>
      <c r="AH86" s="31"/>
      <c r="AI86" s="31"/>
      <c r="AJ86" s="31"/>
      <c r="AK86" s="31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</row>
    <row r="87" spans="1:346" s="26" customFormat="1">
      <c r="A87" s="21"/>
      <c r="B87" s="22"/>
      <c r="C87" s="4"/>
      <c r="D87" s="7"/>
      <c r="E87" s="7"/>
      <c r="F87" s="4"/>
      <c r="G87" s="4"/>
      <c r="H87" s="4"/>
      <c r="I87" s="77"/>
      <c r="J87" s="156"/>
      <c r="K87" s="77"/>
      <c r="L87" s="78"/>
      <c r="M87" s="78"/>
      <c r="N87" s="49"/>
      <c r="O87" s="49" t="e">
        <f>IF($E87="posto/hora extra",0,IF(OR(E87="posto/dia",E87="posto/dia líder"),VLOOKUP($C87,'Indicadores Financeiros'!$A$107:$J$119,8,FALSE)+VLOOKUP($C87,'Indicadores Financeiros'!$A$107:$J$119,9,FALSE)+VLOOKUP($C87,'Indicadores Financeiros'!$A$107:$J$119,10,FALSE),IF('Indicadores Financeiros'!$J$91=0,0,(VLOOKUP($C87,'Indicadores Financeiros'!$A$107:$J$119,9,FALSE)+VLOOKUP('Relatório Custo'!$C87,'Indicadores Financeiros'!$A$107:$J$119,10,FALSE)+('Indicadores Financeiros'!$J$87*'Relatório Custo'!$H87)))))</f>
        <v>#N/A</v>
      </c>
      <c r="P87" s="49"/>
      <c r="Q87" s="81"/>
      <c r="R87" s="81"/>
      <c r="S87" s="82"/>
      <c r="T87" s="47"/>
      <c r="U87" s="83"/>
      <c r="V87" s="24"/>
      <c r="W87" s="91"/>
      <c r="X87" s="20"/>
      <c r="Y87" s="114"/>
      <c r="Z87" s="43"/>
      <c r="AA87" s="41"/>
      <c r="AB87" s="25"/>
      <c r="AC87" s="23"/>
      <c r="AD87" s="23"/>
      <c r="AE87" s="154"/>
      <c r="AF87" s="155"/>
      <c r="AG87" s="155"/>
      <c r="AH87" s="31"/>
      <c r="AI87" s="31"/>
      <c r="AJ87" s="31"/>
      <c r="AK87" s="31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</row>
    <row r="88" spans="1:346" s="26" customFormat="1">
      <c r="A88" s="21"/>
      <c r="B88" s="22"/>
      <c r="C88" s="4"/>
      <c r="D88" s="7"/>
      <c r="E88" s="7"/>
      <c r="F88" s="4"/>
      <c r="G88" s="4"/>
      <c r="H88" s="4"/>
      <c r="I88" s="77"/>
      <c r="J88" s="156"/>
      <c r="K88" s="77"/>
      <c r="L88" s="78"/>
      <c r="M88" s="78"/>
      <c r="N88" s="49"/>
      <c r="O88" s="49" t="e">
        <f>IF($E88="posto/hora extra",0,IF(OR(E88="posto/dia",E88="posto/dia líder"),VLOOKUP($C88,'Indicadores Financeiros'!$A$107:$J$119,8,FALSE)+VLOOKUP($C88,'Indicadores Financeiros'!$A$107:$J$119,9,FALSE)+VLOOKUP($C88,'Indicadores Financeiros'!$A$107:$J$119,10,FALSE),IF('Indicadores Financeiros'!$J$91=0,0,(VLOOKUP($C88,'Indicadores Financeiros'!$A$107:$J$119,9,FALSE)+VLOOKUP('Relatório Custo'!$C88,'Indicadores Financeiros'!$A$107:$J$119,10,FALSE)+('Indicadores Financeiros'!$J$87*'Relatório Custo'!$H88)))))</f>
        <v>#N/A</v>
      </c>
      <c r="P88" s="49"/>
      <c r="Q88" s="81"/>
      <c r="R88" s="81"/>
      <c r="S88" s="82"/>
      <c r="T88" s="47"/>
      <c r="U88" s="83"/>
      <c r="V88" s="24"/>
      <c r="W88" s="91"/>
      <c r="X88" s="20"/>
      <c r="Y88" s="114"/>
      <c r="Z88" s="43"/>
      <c r="AA88" s="41"/>
      <c r="AB88" s="25"/>
      <c r="AC88" s="23"/>
      <c r="AD88" s="23"/>
      <c r="AE88" s="154"/>
      <c r="AF88" s="155"/>
      <c r="AG88" s="155"/>
      <c r="AH88" s="31"/>
      <c r="AI88" s="31"/>
      <c r="AJ88" s="31"/>
      <c r="AK88" s="31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</row>
    <row r="89" spans="1:346" s="26" customFormat="1">
      <c r="A89" s="21"/>
      <c r="B89" s="22"/>
      <c r="C89" s="4"/>
      <c r="D89" s="7"/>
      <c r="E89" s="7"/>
      <c r="F89" s="4"/>
      <c r="G89" s="4"/>
      <c r="H89" s="4"/>
      <c r="I89" s="77"/>
      <c r="J89" s="156"/>
      <c r="K89" s="77"/>
      <c r="L89" s="78"/>
      <c r="M89" s="78"/>
      <c r="N89" s="49"/>
      <c r="O89" s="49" t="e">
        <f>IF($E89="posto/hora extra",0,IF(OR(E89="posto/dia",E89="posto/dia líder"),VLOOKUP($C89,'Indicadores Financeiros'!$A$107:$J$119,8,FALSE)+VLOOKUP($C89,'Indicadores Financeiros'!$A$107:$J$119,9,FALSE)+VLOOKUP($C89,'Indicadores Financeiros'!$A$107:$J$119,10,FALSE),IF('Indicadores Financeiros'!$J$91=0,0,(VLOOKUP($C89,'Indicadores Financeiros'!$A$107:$J$119,9,FALSE)+VLOOKUP('Relatório Custo'!$C89,'Indicadores Financeiros'!$A$107:$J$119,10,FALSE)+('Indicadores Financeiros'!$J$87*'Relatório Custo'!$H89)))))</f>
        <v>#N/A</v>
      </c>
      <c r="P89" s="49"/>
      <c r="Q89" s="81"/>
      <c r="R89" s="81"/>
      <c r="S89" s="82"/>
      <c r="T89" s="47"/>
      <c r="U89" s="83"/>
      <c r="V89" s="24"/>
      <c r="W89" s="91"/>
      <c r="X89" s="20"/>
      <c r="Y89" s="114"/>
      <c r="Z89" s="43"/>
      <c r="AA89" s="41"/>
      <c r="AB89" s="25"/>
      <c r="AC89" s="23"/>
      <c r="AD89" s="23"/>
      <c r="AE89" s="154"/>
      <c r="AF89" s="155"/>
      <c r="AG89" s="155"/>
      <c r="AH89" s="31"/>
      <c r="AI89" s="31"/>
      <c r="AJ89" s="31"/>
      <c r="AK89" s="31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</row>
    <row r="90" spans="1:346" s="26" customFormat="1">
      <c r="A90" s="21"/>
      <c r="B90" s="22"/>
      <c r="C90" s="4"/>
      <c r="D90" s="7"/>
      <c r="E90" s="7"/>
      <c r="F90" s="4"/>
      <c r="G90" s="4"/>
      <c r="H90" s="4"/>
      <c r="I90" s="77"/>
      <c r="J90" s="156"/>
      <c r="K90" s="77"/>
      <c r="L90" s="78"/>
      <c r="M90" s="78"/>
      <c r="N90" s="49"/>
      <c r="O90" s="49" t="e">
        <f>IF($E90="posto/hora extra",0,IF(OR(E90="posto/dia",E90="posto/dia líder"),VLOOKUP($C90,'Indicadores Financeiros'!$A$107:$J$119,8,FALSE)+VLOOKUP($C90,'Indicadores Financeiros'!$A$107:$J$119,9,FALSE)+VLOOKUP($C90,'Indicadores Financeiros'!$A$107:$J$119,10,FALSE),IF('Indicadores Financeiros'!$J$91=0,0,(VLOOKUP($C90,'Indicadores Financeiros'!$A$107:$J$119,9,FALSE)+VLOOKUP('Relatório Custo'!$C90,'Indicadores Financeiros'!$A$107:$J$119,10,FALSE)+('Indicadores Financeiros'!$J$87*'Relatório Custo'!$H90)))))</f>
        <v>#N/A</v>
      </c>
      <c r="P90" s="49"/>
      <c r="Q90" s="81"/>
      <c r="R90" s="81"/>
      <c r="S90" s="82"/>
      <c r="T90" s="47"/>
      <c r="U90" s="83"/>
      <c r="V90" s="24"/>
      <c r="W90" s="91"/>
      <c r="X90" s="20"/>
      <c r="Y90" s="114"/>
      <c r="Z90" s="43"/>
      <c r="AA90" s="41"/>
      <c r="AB90" s="25"/>
      <c r="AC90" s="23"/>
      <c r="AD90" s="23"/>
      <c r="AE90" s="154"/>
      <c r="AF90" s="155"/>
      <c r="AG90" s="155"/>
      <c r="AH90" s="31"/>
      <c r="AI90" s="31"/>
      <c r="AJ90" s="31"/>
      <c r="AK90" s="31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</row>
    <row r="91" spans="1:346" s="26" customFormat="1">
      <c r="A91" s="21"/>
      <c r="B91" s="22"/>
      <c r="C91" s="4"/>
      <c r="D91" s="7"/>
      <c r="E91" s="7"/>
      <c r="F91" s="4"/>
      <c r="G91" s="4"/>
      <c r="H91" s="4"/>
      <c r="I91" s="77"/>
      <c r="J91" s="156"/>
      <c r="K91" s="77"/>
      <c r="L91" s="78"/>
      <c r="M91" s="78"/>
      <c r="N91" s="49"/>
      <c r="O91" s="49" t="e">
        <f>IF($E91="posto/hora extra",0,IF(OR(E91="posto/dia",E91="posto/dia líder"),VLOOKUP($C91,'Indicadores Financeiros'!$A$107:$J$119,8,FALSE)+VLOOKUP($C91,'Indicadores Financeiros'!$A$107:$J$119,9,FALSE)+VLOOKUP($C91,'Indicadores Financeiros'!$A$107:$J$119,10,FALSE),IF('Indicadores Financeiros'!$J$91=0,0,(VLOOKUP($C91,'Indicadores Financeiros'!$A$107:$J$119,9,FALSE)+VLOOKUP('Relatório Custo'!$C91,'Indicadores Financeiros'!$A$107:$J$119,10,FALSE)+('Indicadores Financeiros'!$J$87*'Relatório Custo'!$H91)))))</f>
        <v>#N/A</v>
      </c>
      <c r="P91" s="49"/>
      <c r="Q91" s="81"/>
      <c r="R91" s="81"/>
      <c r="S91" s="82"/>
      <c r="T91" s="47"/>
      <c r="U91" s="83"/>
      <c r="V91" s="24"/>
      <c r="W91" s="91"/>
      <c r="X91" s="20"/>
      <c r="Y91" s="114"/>
      <c r="Z91" s="43"/>
      <c r="AA91" s="41"/>
      <c r="AB91" s="25"/>
      <c r="AC91" s="23"/>
      <c r="AD91" s="23"/>
      <c r="AE91" s="154"/>
      <c r="AF91" s="155"/>
      <c r="AG91" s="155"/>
      <c r="AH91" s="31"/>
      <c r="AI91" s="31"/>
      <c r="AJ91" s="31"/>
      <c r="AK91" s="31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</row>
    <row r="92" spans="1:346" s="26" customFormat="1">
      <c r="A92" s="21"/>
      <c r="B92" s="22"/>
      <c r="C92" s="4"/>
      <c r="D92" s="7"/>
      <c r="E92" s="7"/>
      <c r="F92" s="4"/>
      <c r="G92" s="4"/>
      <c r="H92" s="4"/>
      <c r="I92" s="77"/>
      <c r="J92" s="156"/>
      <c r="K92" s="77"/>
      <c r="L92" s="78"/>
      <c r="M92" s="78"/>
      <c r="N92" s="49"/>
      <c r="O92" s="49" t="e">
        <f>IF($E92="posto/hora extra",0,IF(OR(E92="posto/dia",E92="posto/dia líder"),VLOOKUP($C92,'Indicadores Financeiros'!$A$107:$J$119,8,FALSE)+VLOOKUP($C92,'Indicadores Financeiros'!$A$107:$J$119,9,FALSE)+VLOOKUP($C92,'Indicadores Financeiros'!$A$107:$J$119,10,FALSE),IF('Indicadores Financeiros'!$J$91=0,0,(VLOOKUP($C92,'Indicadores Financeiros'!$A$107:$J$119,9,FALSE)+VLOOKUP('Relatório Custo'!$C92,'Indicadores Financeiros'!$A$107:$J$119,10,FALSE)+('Indicadores Financeiros'!$J$87*'Relatório Custo'!$H92)))))</f>
        <v>#N/A</v>
      </c>
      <c r="P92" s="49"/>
      <c r="Q92" s="81"/>
      <c r="R92" s="81"/>
      <c r="S92" s="82"/>
      <c r="T92" s="47"/>
      <c r="U92" s="83"/>
      <c r="V92" s="24"/>
      <c r="W92" s="91"/>
      <c r="X92" s="20"/>
      <c r="Y92" s="114"/>
      <c r="Z92" s="43"/>
      <c r="AA92" s="41"/>
      <c r="AB92" s="25"/>
      <c r="AC92" s="23"/>
      <c r="AD92" s="23"/>
      <c r="AE92" s="154"/>
      <c r="AF92" s="155"/>
      <c r="AG92" s="155"/>
      <c r="AH92" s="31"/>
      <c r="AI92" s="31"/>
      <c r="AJ92" s="31"/>
      <c r="AK92" s="31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  <c r="LT92" s="25"/>
      <c r="LU92" s="25"/>
      <c r="LV92" s="25"/>
      <c r="LW92" s="25"/>
      <c r="LX92" s="25"/>
      <c r="LY92" s="25"/>
      <c r="LZ92" s="25"/>
      <c r="MA92" s="25"/>
      <c r="MB92" s="25"/>
      <c r="MC92" s="25"/>
      <c r="MD92" s="25"/>
      <c r="ME92" s="25"/>
      <c r="MF92" s="25"/>
      <c r="MG92" s="25"/>
      <c r="MH92" s="25"/>
    </row>
    <row r="93" spans="1:346" s="26" customFormat="1">
      <c r="A93" s="21"/>
      <c r="B93" s="22"/>
      <c r="C93" s="4"/>
      <c r="D93" s="7"/>
      <c r="E93" s="7"/>
      <c r="F93" s="4"/>
      <c r="G93" s="4"/>
      <c r="H93" s="4"/>
      <c r="I93" s="77"/>
      <c r="J93" s="156"/>
      <c r="K93" s="77"/>
      <c r="L93" s="78"/>
      <c r="M93" s="78"/>
      <c r="N93" s="49"/>
      <c r="O93" s="49" t="e">
        <f>IF($E93="posto/hora extra",0,IF(OR(E93="posto/dia",E93="posto/dia líder"),VLOOKUP($C93,'Indicadores Financeiros'!$A$107:$J$119,8,FALSE)+VLOOKUP($C93,'Indicadores Financeiros'!$A$107:$J$119,9,FALSE)+VLOOKUP($C93,'Indicadores Financeiros'!$A$107:$J$119,10,FALSE),IF('Indicadores Financeiros'!$J$91=0,0,(VLOOKUP($C93,'Indicadores Financeiros'!$A$107:$J$119,9,FALSE)+VLOOKUP('Relatório Custo'!$C93,'Indicadores Financeiros'!$A$107:$J$119,10,FALSE)+('Indicadores Financeiros'!$J$87*'Relatório Custo'!$H93)))))</f>
        <v>#N/A</v>
      </c>
      <c r="P93" s="49"/>
      <c r="Q93" s="81"/>
      <c r="R93" s="81"/>
      <c r="S93" s="82"/>
      <c r="T93" s="47"/>
      <c r="U93" s="83"/>
      <c r="V93" s="24"/>
      <c r="W93" s="91"/>
      <c r="X93" s="20"/>
      <c r="Y93" s="114"/>
      <c r="Z93" s="43"/>
      <c r="AA93" s="41"/>
      <c r="AB93" s="25"/>
      <c r="AC93" s="23"/>
      <c r="AD93" s="23"/>
      <c r="AE93" s="154"/>
      <c r="AF93" s="155"/>
      <c r="AG93" s="155"/>
      <c r="AH93" s="31"/>
      <c r="AI93" s="31"/>
      <c r="AJ93" s="31"/>
      <c r="AK93" s="31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  <c r="LT93" s="25"/>
      <c r="LU93" s="25"/>
      <c r="LV93" s="25"/>
      <c r="LW93" s="25"/>
      <c r="LX93" s="25"/>
      <c r="LY93" s="25"/>
      <c r="LZ93" s="25"/>
      <c r="MA93" s="25"/>
      <c r="MB93" s="25"/>
      <c r="MC93" s="25"/>
      <c r="MD93" s="25"/>
      <c r="ME93" s="25"/>
      <c r="MF93" s="25"/>
      <c r="MG93" s="25"/>
      <c r="MH93" s="25"/>
    </row>
    <row r="94" spans="1:346" s="26" customFormat="1">
      <c r="A94" s="21"/>
      <c r="B94" s="22"/>
      <c r="C94" s="4"/>
      <c r="D94" s="7"/>
      <c r="E94" s="7"/>
      <c r="F94" s="4"/>
      <c r="G94" s="4"/>
      <c r="H94" s="4"/>
      <c r="I94" s="77"/>
      <c r="J94" s="156"/>
      <c r="K94" s="77"/>
      <c r="L94" s="78"/>
      <c r="M94" s="78"/>
      <c r="N94" s="49"/>
      <c r="O94" s="49" t="e">
        <f>IF($E94="posto/hora extra",0,IF(OR(E94="posto/dia",E94="posto/dia líder"),VLOOKUP($C94,'Indicadores Financeiros'!$A$107:$J$119,8,FALSE)+VLOOKUP($C94,'Indicadores Financeiros'!$A$107:$J$119,9,FALSE)+VLOOKUP($C94,'Indicadores Financeiros'!$A$107:$J$119,10,FALSE),IF('Indicadores Financeiros'!$J$91=0,0,(VLOOKUP($C94,'Indicadores Financeiros'!$A$107:$J$119,9,FALSE)+VLOOKUP('Relatório Custo'!$C94,'Indicadores Financeiros'!$A$107:$J$119,10,FALSE)+('Indicadores Financeiros'!$J$87*'Relatório Custo'!$H94)))))</f>
        <v>#N/A</v>
      </c>
      <c r="P94" s="49"/>
      <c r="Q94" s="81"/>
      <c r="R94" s="81"/>
      <c r="S94" s="82"/>
      <c r="T94" s="47"/>
      <c r="U94" s="83"/>
      <c r="V94" s="24"/>
      <c r="W94" s="91"/>
      <c r="X94" s="20"/>
      <c r="Y94" s="114"/>
      <c r="Z94" s="43"/>
      <c r="AA94" s="41"/>
      <c r="AB94" s="25"/>
      <c r="AC94" s="23"/>
      <c r="AD94" s="23"/>
      <c r="AE94" s="154"/>
      <c r="AF94" s="155"/>
      <c r="AG94" s="155"/>
      <c r="AH94" s="31"/>
      <c r="AI94" s="31"/>
      <c r="AJ94" s="31"/>
      <c r="AK94" s="31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  <c r="LT94" s="25"/>
      <c r="LU94" s="25"/>
      <c r="LV94" s="25"/>
      <c r="LW94" s="25"/>
      <c r="LX94" s="25"/>
      <c r="LY94" s="25"/>
      <c r="LZ94" s="25"/>
      <c r="MA94" s="25"/>
      <c r="MB94" s="25"/>
      <c r="MC94" s="25"/>
      <c r="MD94" s="25"/>
      <c r="ME94" s="25"/>
      <c r="MF94" s="25"/>
      <c r="MG94" s="25"/>
      <c r="MH94" s="25"/>
    </row>
    <row r="95" spans="1:346" s="26" customFormat="1">
      <c r="A95" s="21"/>
      <c r="B95" s="22"/>
      <c r="C95" s="4"/>
      <c r="D95" s="7"/>
      <c r="E95" s="7"/>
      <c r="F95" s="4"/>
      <c r="G95" s="4"/>
      <c r="H95" s="4"/>
      <c r="I95" s="77"/>
      <c r="J95" s="156"/>
      <c r="K95" s="77"/>
      <c r="L95" s="78"/>
      <c r="M95" s="78"/>
      <c r="N95" s="49"/>
      <c r="O95" s="49" t="e">
        <f>IF($E95="posto/hora extra",0,IF(OR(E95="posto/dia",E95="posto/dia líder"),VLOOKUP($C95,'Indicadores Financeiros'!$A$107:$J$119,8,FALSE)+VLOOKUP($C95,'Indicadores Financeiros'!$A$107:$J$119,9,FALSE)+VLOOKUP($C95,'Indicadores Financeiros'!$A$107:$J$119,10,FALSE),IF('Indicadores Financeiros'!$J$91=0,0,(VLOOKUP($C95,'Indicadores Financeiros'!$A$107:$J$119,9,FALSE)+VLOOKUP('Relatório Custo'!$C95,'Indicadores Financeiros'!$A$107:$J$119,10,FALSE)+('Indicadores Financeiros'!$J$87*'Relatório Custo'!$H95)))))</f>
        <v>#N/A</v>
      </c>
      <c r="P95" s="49"/>
      <c r="Q95" s="81"/>
      <c r="R95" s="81"/>
      <c r="S95" s="82"/>
      <c r="T95" s="47"/>
      <c r="U95" s="83"/>
      <c r="V95" s="24"/>
      <c r="W95" s="91"/>
      <c r="X95" s="20"/>
      <c r="Y95" s="114"/>
      <c r="Z95" s="43"/>
      <c r="AA95" s="41"/>
      <c r="AB95" s="25"/>
      <c r="AC95" s="23"/>
      <c r="AD95" s="23"/>
      <c r="AE95" s="154"/>
      <c r="AF95" s="155"/>
      <c r="AG95" s="155"/>
      <c r="AH95" s="31"/>
      <c r="AI95" s="31"/>
      <c r="AJ95" s="31"/>
      <c r="AK95" s="31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  <c r="LT95" s="25"/>
      <c r="LU95" s="25"/>
      <c r="LV95" s="25"/>
      <c r="LW95" s="25"/>
      <c r="LX95" s="25"/>
      <c r="LY95" s="25"/>
      <c r="LZ95" s="25"/>
      <c r="MA95" s="25"/>
      <c r="MB95" s="25"/>
      <c r="MC95" s="25"/>
      <c r="MD95" s="25"/>
      <c r="ME95" s="25"/>
      <c r="MF95" s="25"/>
      <c r="MG95" s="25"/>
      <c r="MH95" s="25"/>
    </row>
    <row r="96" spans="1:346" s="26" customFormat="1">
      <c r="A96" s="21"/>
      <c r="B96" s="22"/>
      <c r="C96" s="4"/>
      <c r="D96" s="7"/>
      <c r="E96" s="7"/>
      <c r="F96" s="4"/>
      <c r="G96" s="4"/>
      <c r="H96" s="4"/>
      <c r="I96" s="77"/>
      <c r="J96" s="156"/>
      <c r="K96" s="77"/>
      <c r="L96" s="78"/>
      <c r="M96" s="78"/>
      <c r="N96" s="49"/>
      <c r="O96" s="49" t="e">
        <f>IF($E96="posto/hora extra",0,IF(OR(E96="posto/dia",E96="posto/dia líder"),VLOOKUP($C96,'Indicadores Financeiros'!$A$107:$J$119,8,FALSE)+VLOOKUP($C96,'Indicadores Financeiros'!$A$107:$J$119,9,FALSE)+VLOOKUP($C96,'Indicadores Financeiros'!$A$107:$J$119,10,FALSE),IF('Indicadores Financeiros'!$J$91=0,0,(VLOOKUP($C96,'Indicadores Financeiros'!$A$107:$J$119,9,FALSE)+VLOOKUP('Relatório Custo'!$C96,'Indicadores Financeiros'!$A$107:$J$119,10,FALSE)+('Indicadores Financeiros'!$J$87*'Relatório Custo'!$H96)))))</f>
        <v>#N/A</v>
      </c>
      <c r="P96" s="49"/>
      <c r="Q96" s="81"/>
      <c r="R96" s="81"/>
      <c r="S96" s="82"/>
      <c r="T96" s="47"/>
      <c r="U96" s="83"/>
      <c r="V96" s="24"/>
      <c r="W96" s="91"/>
      <c r="X96" s="20"/>
      <c r="Y96" s="114"/>
      <c r="Z96" s="43"/>
      <c r="AA96" s="41"/>
      <c r="AB96" s="25"/>
      <c r="AC96" s="23"/>
      <c r="AD96" s="23"/>
      <c r="AE96" s="154"/>
      <c r="AF96" s="155"/>
      <c r="AG96" s="155"/>
      <c r="AH96" s="31"/>
      <c r="AI96" s="31"/>
      <c r="AJ96" s="31"/>
      <c r="AK96" s="31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  <c r="LT96" s="25"/>
      <c r="LU96" s="25"/>
      <c r="LV96" s="25"/>
      <c r="LW96" s="25"/>
      <c r="LX96" s="25"/>
      <c r="LY96" s="25"/>
      <c r="LZ96" s="25"/>
      <c r="MA96" s="25"/>
      <c r="MB96" s="25"/>
      <c r="MC96" s="25"/>
      <c r="MD96" s="25"/>
      <c r="ME96" s="25"/>
      <c r="MF96" s="25"/>
      <c r="MG96" s="25"/>
      <c r="MH96" s="25"/>
    </row>
    <row r="97" spans="1:346" s="26" customFormat="1">
      <c r="A97" s="21"/>
      <c r="B97" s="22"/>
      <c r="C97" s="4"/>
      <c r="D97" s="7"/>
      <c r="E97" s="7"/>
      <c r="F97" s="4"/>
      <c r="G97" s="4"/>
      <c r="H97" s="4"/>
      <c r="I97" s="77"/>
      <c r="J97" s="156"/>
      <c r="K97" s="77"/>
      <c r="L97" s="78"/>
      <c r="M97" s="78"/>
      <c r="N97" s="49"/>
      <c r="O97" s="49" t="e">
        <f>IF($E97="posto/hora extra",0,IF(OR(E97="posto/dia",E97="posto/dia líder"),VLOOKUP($C97,'Indicadores Financeiros'!$A$107:$J$119,8,FALSE)+VLOOKUP($C97,'Indicadores Financeiros'!$A$107:$J$119,9,FALSE)+VLOOKUP($C97,'Indicadores Financeiros'!$A$107:$J$119,10,FALSE),IF('Indicadores Financeiros'!$J$91=0,0,(VLOOKUP($C97,'Indicadores Financeiros'!$A$107:$J$119,9,FALSE)+VLOOKUP('Relatório Custo'!$C97,'Indicadores Financeiros'!$A$107:$J$119,10,FALSE)+('Indicadores Financeiros'!$J$87*'Relatório Custo'!$H97)))))</f>
        <v>#N/A</v>
      </c>
      <c r="P97" s="49"/>
      <c r="Q97" s="81"/>
      <c r="R97" s="81"/>
      <c r="S97" s="82"/>
      <c r="T97" s="47"/>
      <c r="U97" s="83"/>
      <c r="V97" s="24"/>
      <c r="W97" s="91"/>
      <c r="X97" s="20"/>
      <c r="Y97" s="114"/>
      <c r="Z97" s="43"/>
      <c r="AA97" s="41"/>
      <c r="AB97" s="25"/>
      <c r="AC97" s="23"/>
      <c r="AD97" s="23"/>
      <c r="AE97" s="154"/>
      <c r="AF97" s="155"/>
      <c r="AG97" s="155"/>
      <c r="AH97" s="31"/>
      <c r="AI97" s="31"/>
      <c r="AJ97" s="31"/>
      <c r="AK97" s="31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</row>
    <row r="98" spans="1:346" s="26" customFormat="1">
      <c r="A98" s="21"/>
      <c r="B98" s="22"/>
      <c r="C98" s="4"/>
      <c r="D98" s="7"/>
      <c r="E98" s="7"/>
      <c r="F98" s="4"/>
      <c r="G98" s="4"/>
      <c r="H98" s="4"/>
      <c r="I98" s="77"/>
      <c r="J98" s="156"/>
      <c r="K98" s="77"/>
      <c r="L98" s="78"/>
      <c r="M98" s="78"/>
      <c r="N98" s="49"/>
      <c r="O98" s="49" t="e">
        <f>IF($E98="posto/hora extra",0,IF(OR(E98="posto/dia",E98="posto/dia líder"),VLOOKUP($C98,'Indicadores Financeiros'!$A$107:$J$119,8,FALSE)+VLOOKUP($C98,'Indicadores Financeiros'!$A$107:$J$119,9,FALSE)+VLOOKUP($C98,'Indicadores Financeiros'!$A$107:$J$119,10,FALSE),IF('Indicadores Financeiros'!$J$91=0,0,(VLOOKUP($C98,'Indicadores Financeiros'!$A$107:$J$119,9,FALSE)+VLOOKUP('Relatório Custo'!$C98,'Indicadores Financeiros'!$A$107:$J$119,10,FALSE)+('Indicadores Financeiros'!$J$87*'Relatório Custo'!$H98)))))</f>
        <v>#N/A</v>
      </c>
      <c r="P98" s="49"/>
      <c r="Q98" s="81"/>
      <c r="R98" s="81"/>
      <c r="S98" s="82"/>
      <c r="T98" s="47"/>
      <c r="U98" s="83"/>
      <c r="V98" s="24"/>
      <c r="W98" s="91"/>
      <c r="X98" s="20"/>
      <c r="Y98" s="114"/>
      <c r="Z98" s="43"/>
      <c r="AA98" s="41"/>
      <c r="AB98" s="25"/>
      <c r="AC98" s="23"/>
      <c r="AD98" s="23"/>
      <c r="AE98" s="154"/>
      <c r="AF98" s="155"/>
      <c r="AG98" s="155"/>
      <c r="AH98" s="31"/>
      <c r="AI98" s="31"/>
      <c r="AJ98" s="31"/>
      <c r="AK98" s="31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</row>
    <row r="99" spans="1:346" s="26" customFormat="1">
      <c r="A99" s="21"/>
      <c r="B99" s="22"/>
      <c r="C99" s="4"/>
      <c r="D99" s="7"/>
      <c r="E99" s="7"/>
      <c r="F99" s="4"/>
      <c r="G99" s="4"/>
      <c r="H99" s="4"/>
      <c r="I99" s="77"/>
      <c r="J99" s="156"/>
      <c r="K99" s="77"/>
      <c r="L99" s="78"/>
      <c r="M99" s="78"/>
      <c r="N99" s="49"/>
      <c r="O99" s="49" t="e">
        <f>IF($E99="posto/hora extra",0,IF(OR(E99="posto/dia",E99="posto/dia líder"),VLOOKUP($C99,'Indicadores Financeiros'!$A$107:$J$119,8,FALSE)+VLOOKUP($C99,'Indicadores Financeiros'!$A$107:$J$119,9,FALSE)+VLOOKUP($C99,'Indicadores Financeiros'!$A$107:$J$119,10,FALSE),IF('Indicadores Financeiros'!$J$91=0,0,(VLOOKUP($C99,'Indicadores Financeiros'!$A$107:$J$119,9,FALSE)+VLOOKUP('Relatório Custo'!$C99,'Indicadores Financeiros'!$A$107:$J$119,10,FALSE)+('Indicadores Financeiros'!$J$87*'Relatório Custo'!$H99)))))</f>
        <v>#N/A</v>
      </c>
      <c r="P99" s="49"/>
      <c r="Q99" s="81"/>
      <c r="R99" s="81"/>
      <c r="S99" s="82"/>
      <c r="T99" s="47"/>
      <c r="U99" s="83"/>
      <c r="V99" s="24"/>
      <c r="W99" s="91"/>
      <c r="X99" s="20"/>
      <c r="Y99" s="114"/>
      <c r="Z99" s="43"/>
      <c r="AA99" s="41"/>
      <c r="AB99" s="25"/>
      <c r="AC99" s="23"/>
      <c r="AD99" s="23"/>
      <c r="AE99" s="154"/>
      <c r="AF99" s="155"/>
      <c r="AG99" s="155"/>
      <c r="AH99" s="31"/>
      <c r="AI99" s="31"/>
      <c r="AJ99" s="31"/>
      <c r="AK99" s="31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  <c r="IW99" s="25"/>
      <c r="IX99" s="25"/>
      <c r="IY99" s="25"/>
      <c r="IZ99" s="25"/>
      <c r="JA99" s="25"/>
      <c r="JB99" s="25"/>
      <c r="JC99" s="25"/>
      <c r="JD99" s="25"/>
      <c r="JE99" s="25"/>
      <c r="JF99" s="25"/>
      <c r="JG99" s="25"/>
      <c r="JH99" s="25"/>
      <c r="JI99" s="25"/>
      <c r="JJ99" s="25"/>
      <c r="JK99" s="25"/>
      <c r="JL99" s="25"/>
      <c r="JM99" s="25"/>
      <c r="JN99" s="25"/>
      <c r="JO99" s="25"/>
      <c r="JP99" s="25"/>
      <c r="JQ99" s="25"/>
      <c r="JR99" s="25"/>
      <c r="JS99" s="25"/>
      <c r="JT99" s="25"/>
      <c r="JU99" s="25"/>
      <c r="JV99" s="25"/>
      <c r="JW99" s="25"/>
      <c r="JX99" s="25"/>
      <c r="JY99" s="25"/>
      <c r="JZ99" s="25"/>
      <c r="KA99" s="25"/>
      <c r="KB99" s="25"/>
      <c r="KC99" s="25"/>
      <c r="KD99" s="25"/>
      <c r="KE99" s="25"/>
      <c r="KF99" s="25"/>
      <c r="KG99" s="25"/>
      <c r="KH99" s="25"/>
      <c r="KI99" s="25"/>
      <c r="KJ99" s="25"/>
      <c r="KK99" s="25"/>
      <c r="KL99" s="25"/>
      <c r="KM99" s="25"/>
      <c r="KN99" s="25"/>
      <c r="KO99" s="25"/>
      <c r="KP99" s="25"/>
      <c r="KQ99" s="25"/>
      <c r="KR99" s="25"/>
      <c r="KS99" s="25"/>
      <c r="KT99" s="25"/>
      <c r="KU99" s="25"/>
      <c r="KV99" s="25"/>
      <c r="KW99" s="25"/>
      <c r="KX99" s="25"/>
      <c r="KY99" s="25"/>
      <c r="KZ99" s="25"/>
      <c r="LA99" s="25"/>
      <c r="LB99" s="25"/>
      <c r="LC99" s="25"/>
      <c r="LD99" s="25"/>
      <c r="LE99" s="25"/>
      <c r="LF99" s="25"/>
      <c r="LG99" s="25"/>
      <c r="LH99" s="25"/>
      <c r="LI99" s="25"/>
      <c r="LJ99" s="25"/>
      <c r="LK99" s="25"/>
      <c r="LL99" s="25"/>
      <c r="LM99" s="25"/>
      <c r="LN99" s="25"/>
      <c r="LO99" s="25"/>
      <c r="LP99" s="25"/>
      <c r="LQ99" s="25"/>
      <c r="LR99" s="25"/>
      <c r="LS99" s="25"/>
      <c r="LT99" s="25"/>
      <c r="LU99" s="25"/>
      <c r="LV99" s="25"/>
      <c r="LW99" s="25"/>
      <c r="LX99" s="25"/>
      <c r="LY99" s="25"/>
      <c r="LZ99" s="25"/>
      <c r="MA99" s="25"/>
      <c r="MB99" s="25"/>
      <c r="MC99" s="25"/>
      <c r="MD99" s="25"/>
      <c r="ME99" s="25"/>
      <c r="MF99" s="25"/>
      <c r="MG99" s="25"/>
      <c r="MH99" s="25"/>
    </row>
    <row r="100" spans="1:346" s="26" customFormat="1">
      <c r="A100" s="21"/>
      <c r="B100" s="22"/>
      <c r="C100" s="4"/>
      <c r="D100" s="7"/>
      <c r="E100" s="7"/>
      <c r="F100" s="4"/>
      <c r="G100" s="4"/>
      <c r="H100" s="4"/>
      <c r="I100" s="77"/>
      <c r="J100" s="156"/>
      <c r="K100" s="77"/>
      <c r="L100" s="78"/>
      <c r="M100" s="78"/>
      <c r="N100" s="49"/>
      <c r="O100" s="49" t="e">
        <f>IF($E100="posto/hora extra",0,IF(OR(E100="posto/dia",E100="posto/dia líder"),VLOOKUP($C100,'Indicadores Financeiros'!$A$107:$J$119,8,FALSE)+VLOOKUP($C100,'Indicadores Financeiros'!$A$107:$J$119,9,FALSE)+VLOOKUP($C100,'Indicadores Financeiros'!$A$107:$J$119,10,FALSE),IF('Indicadores Financeiros'!$J$91=0,0,(VLOOKUP($C100,'Indicadores Financeiros'!$A$107:$J$119,9,FALSE)+VLOOKUP('Relatório Custo'!$C100,'Indicadores Financeiros'!$A$107:$J$119,10,FALSE)+('Indicadores Financeiros'!$J$87*'Relatório Custo'!$H100)))))</f>
        <v>#N/A</v>
      </c>
      <c r="P100" s="49"/>
      <c r="Q100" s="81"/>
      <c r="R100" s="81"/>
      <c r="S100" s="82"/>
      <c r="T100" s="47"/>
      <c r="U100" s="83"/>
      <c r="V100" s="24"/>
      <c r="W100" s="91"/>
      <c r="X100" s="20"/>
      <c r="Y100" s="114"/>
      <c r="Z100" s="43"/>
      <c r="AA100" s="41"/>
      <c r="AB100" s="25"/>
      <c r="AC100" s="23"/>
      <c r="AD100" s="23"/>
      <c r="AE100" s="154"/>
      <c r="AF100" s="155"/>
      <c r="AG100" s="155"/>
      <c r="AH100" s="31"/>
      <c r="AI100" s="31"/>
      <c r="AJ100" s="31"/>
      <c r="AK100" s="31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  <c r="LT100" s="25"/>
      <c r="LU100" s="25"/>
      <c r="LV100" s="25"/>
      <c r="LW100" s="25"/>
      <c r="LX100" s="25"/>
      <c r="LY100" s="25"/>
      <c r="LZ100" s="25"/>
      <c r="MA100" s="25"/>
      <c r="MB100" s="25"/>
      <c r="MC100" s="25"/>
      <c r="MD100" s="25"/>
      <c r="ME100" s="25"/>
      <c r="MF100" s="25"/>
      <c r="MG100" s="25"/>
      <c r="MH100" s="25"/>
    </row>
    <row r="101" spans="1:346" s="26" customFormat="1">
      <c r="A101" s="21"/>
      <c r="B101" s="22"/>
      <c r="C101" s="4"/>
      <c r="D101" s="7"/>
      <c r="E101" s="7"/>
      <c r="F101" s="4"/>
      <c r="G101" s="4"/>
      <c r="H101" s="4"/>
      <c r="I101" s="77"/>
      <c r="J101" s="156"/>
      <c r="K101" s="77"/>
      <c r="L101" s="78"/>
      <c r="M101" s="78"/>
      <c r="N101" s="49"/>
      <c r="O101" s="49" t="e">
        <f>IF($E101="posto/hora extra",0,IF(OR(E101="posto/dia",E101="posto/dia líder"),VLOOKUP($C101,'Indicadores Financeiros'!$A$107:$J$119,8,FALSE)+VLOOKUP($C101,'Indicadores Financeiros'!$A$107:$J$119,9,FALSE)+VLOOKUP($C101,'Indicadores Financeiros'!$A$107:$J$119,10,FALSE),IF('Indicadores Financeiros'!$J$91=0,0,(VLOOKUP($C101,'Indicadores Financeiros'!$A$107:$J$119,9,FALSE)+VLOOKUP('Relatório Custo'!$C101,'Indicadores Financeiros'!$A$107:$J$119,10,FALSE)+('Indicadores Financeiros'!$J$87*'Relatório Custo'!$H101)))))</f>
        <v>#N/A</v>
      </c>
      <c r="P101" s="49"/>
      <c r="Q101" s="81"/>
      <c r="R101" s="81"/>
      <c r="S101" s="82"/>
      <c r="T101" s="47"/>
      <c r="U101" s="83"/>
      <c r="V101" s="24"/>
      <c r="W101" s="91"/>
      <c r="X101" s="20"/>
      <c r="Y101" s="114"/>
      <c r="Z101" s="43"/>
      <c r="AA101" s="41"/>
      <c r="AB101" s="25"/>
      <c r="AC101" s="23"/>
      <c r="AD101" s="23"/>
      <c r="AE101" s="154"/>
      <c r="AF101" s="155"/>
      <c r="AG101" s="155"/>
      <c r="AH101" s="31"/>
      <c r="AI101" s="31"/>
      <c r="AJ101" s="31"/>
      <c r="AK101" s="31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  <c r="LT101" s="25"/>
      <c r="LU101" s="25"/>
      <c r="LV101" s="25"/>
      <c r="LW101" s="25"/>
      <c r="LX101" s="25"/>
      <c r="LY101" s="25"/>
      <c r="LZ101" s="25"/>
      <c r="MA101" s="25"/>
      <c r="MB101" s="25"/>
      <c r="MC101" s="25"/>
      <c r="MD101" s="25"/>
      <c r="ME101" s="25"/>
      <c r="MF101" s="25"/>
      <c r="MG101" s="25"/>
      <c r="MH101" s="25"/>
    </row>
    <row r="102" spans="1:346" s="26" customFormat="1">
      <c r="A102" s="21"/>
      <c r="B102" s="22"/>
      <c r="C102" s="4"/>
      <c r="D102" s="7"/>
      <c r="E102" s="7"/>
      <c r="F102" s="4"/>
      <c r="G102" s="4"/>
      <c r="H102" s="4"/>
      <c r="I102" s="77"/>
      <c r="J102" s="156"/>
      <c r="K102" s="77"/>
      <c r="L102" s="78"/>
      <c r="M102" s="78"/>
      <c r="N102" s="49"/>
      <c r="O102" s="49" t="e">
        <f>IF($E102="posto/hora extra",0,IF(OR(E102="posto/dia",E102="posto/dia líder"),VLOOKUP($C102,'Indicadores Financeiros'!$A$107:$J$119,8,FALSE)+VLOOKUP($C102,'Indicadores Financeiros'!$A$107:$J$119,9,FALSE)+VLOOKUP($C102,'Indicadores Financeiros'!$A$107:$J$119,10,FALSE),IF('Indicadores Financeiros'!$J$91=0,0,(VLOOKUP($C102,'Indicadores Financeiros'!$A$107:$J$119,9,FALSE)+VLOOKUP('Relatório Custo'!$C102,'Indicadores Financeiros'!$A$107:$J$119,10,FALSE)+('Indicadores Financeiros'!$J$87*'Relatório Custo'!$H102)))))</f>
        <v>#N/A</v>
      </c>
      <c r="P102" s="49"/>
      <c r="Q102" s="81"/>
      <c r="R102" s="81"/>
      <c r="S102" s="82"/>
      <c r="T102" s="47"/>
      <c r="U102" s="83"/>
      <c r="V102" s="24"/>
      <c r="W102" s="91"/>
      <c r="X102" s="20"/>
      <c r="Y102" s="114"/>
      <c r="Z102" s="43"/>
      <c r="AA102" s="41"/>
      <c r="AB102" s="25"/>
      <c r="AC102" s="23"/>
      <c r="AD102" s="23"/>
      <c r="AE102" s="154"/>
      <c r="AF102" s="155"/>
      <c r="AG102" s="155"/>
      <c r="AH102" s="31"/>
      <c r="AI102" s="31"/>
      <c r="AJ102" s="31"/>
      <c r="AK102" s="31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  <c r="LT102" s="25"/>
      <c r="LU102" s="25"/>
      <c r="LV102" s="25"/>
      <c r="LW102" s="25"/>
      <c r="LX102" s="25"/>
      <c r="LY102" s="25"/>
      <c r="LZ102" s="25"/>
      <c r="MA102" s="25"/>
      <c r="MB102" s="25"/>
      <c r="MC102" s="25"/>
      <c r="MD102" s="25"/>
      <c r="ME102" s="25"/>
      <c r="MF102" s="25"/>
      <c r="MG102" s="25"/>
      <c r="MH102" s="25"/>
    </row>
    <row r="103" spans="1:346" s="26" customFormat="1">
      <c r="A103" s="21"/>
      <c r="B103" s="22"/>
      <c r="C103" s="4"/>
      <c r="D103" s="7"/>
      <c r="E103" s="7"/>
      <c r="F103" s="4"/>
      <c r="G103" s="4"/>
      <c r="H103" s="4"/>
      <c r="I103" s="77"/>
      <c r="J103" s="156"/>
      <c r="K103" s="77"/>
      <c r="L103" s="78"/>
      <c r="M103" s="78"/>
      <c r="N103" s="49"/>
      <c r="O103" s="49" t="e">
        <f>IF($E103="posto/hora extra",0,IF(OR(E103="posto/dia",E103="posto/dia líder"),VLOOKUP($C103,'Indicadores Financeiros'!$A$107:$J$119,8,FALSE)+VLOOKUP($C103,'Indicadores Financeiros'!$A$107:$J$119,9,FALSE)+VLOOKUP($C103,'Indicadores Financeiros'!$A$107:$J$119,10,FALSE),IF('Indicadores Financeiros'!$J$91=0,0,(VLOOKUP($C103,'Indicadores Financeiros'!$A$107:$J$119,9,FALSE)+VLOOKUP('Relatório Custo'!$C103,'Indicadores Financeiros'!$A$107:$J$119,10,FALSE)+('Indicadores Financeiros'!$J$87*'Relatório Custo'!$H103)))))</f>
        <v>#N/A</v>
      </c>
      <c r="P103" s="49"/>
      <c r="Q103" s="81"/>
      <c r="R103" s="81"/>
      <c r="S103" s="82"/>
      <c r="T103" s="47"/>
      <c r="U103" s="83"/>
      <c r="V103" s="24"/>
      <c r="W103" s="91"/>
      <c r="X103" s="20"/>
      <c r="Y103" s="114"/>
      <c r="Z103" s="43"/>
      <c r="AA103" s="41"/>
      <c r="AB103" s="25"/>
      <c r="AC103" s="23"/>
      <c r="AD103" s="23"/>
      <c r="AE103" s="154"/>
      <c r="AF103" s="155"/>
      <c r="AG103" s="155"/>
      <c r="AH103" s="31"/>
      <c r="AI103" s="31"/>
      <c r="AJ103" s="31"/>
      <c r="AK103" s="31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  <c r="LT103" s="25"/>
      <c r="LU103" s="25"/>
      <c r="LV103" s="25"/>
      <c r="LW103" s="25"/>
      <c r="LX103" s="25"/>
      <c r="LY103" s="25"/>
      <c r="LZ103" s="25"/>
      <c r="MA103" s="25"/>
      <c r="MB103" s="25"/>
      <c r="MC103" s="25"/>
      <c r="MD103" s="25"/>
      <c r="ME103" s="25"/>
      <c r="MF103" s="25"/>
      <c r="MG103" s="25"/>
      <c r="MH103" s="25"/>
    </row>
    <row r="104" spans="1:346" s="26" customFormat="1">
      <c r="A104" s="21"/>
      <c r="B104" s="22"/>
      <c r="C104" s="4"/>
      <c r="D104" s="7"/>
      <c r="E104" s="7"/>
      <c r="F104" s="4"/>
      <c r="G104" s="4"/>
      <c r="H104" s="4"/>
      <c r="I104" s="77"/>
      <c r="J104" s="156"/>
      <c r="K104" s="77"/>
      <c r="L104" s="78"/>
      <c r="M104" s="78"/>
      <c r="N104" s="49"/>
      <c r="O104" s="49" t="e">
        <f>IF($E104="posto/hora extra",0,IF(OR(E104="posto/dia",E104="posto/dia líder"),VLOOKUP($C104,'Indicadores Financeiros'!$A$107:$J$119,8,FALSE)+VLOOKUP($C104,'Indicadores Financeiros'!$A$107:$J$119,9,FALSE)+VLOOKUP($C104,'Indicadores Financeiros'!$A$107:$J$119,10,FALSE),IF('Indicadores Financeiros'!$J$91=0,0,(VLOOKUP($C104,'Indicadores Financeiros'!$A$107:$J$119,9,FALSE)+VLOOKUP('Relatório Custo'!$C104,'Indicadores Financeiros'!$A$107:$J$119,10,FALSE)+('Indicadores Financeiros'!$J$87*'Relatório Custo'!$H104)))))</f>
        <v>#N/A</v>
      </c>
      <c r="P104" s="49"/>
      <c r="Q104" s="81"/>
      <c r="R104" s="81"/>
      <c r="S104" s="82"/>
      <c r="T104" s="47"/>
      <c r="U104" s="83"/>
      <c r="V104" s="24"/>
      <c r="W104" s="91"/>
      <c r="X104" s="20"/>
      <c r="Y104" s="114"/>
      <c r="Z104" s="43"/>
      <c r="AA104" s="41"/>
      <c r="AB104" s="25"/>
      <c r="AC104" s="23"/>
      <c r="AD104" s="23"/>
      <c r="AE104" s="154"/>
      <c r="AF104" s="155"/>
      <c r="AG104" s="155"/>
      <c r="AH104" s="31"/>
      <c r="AI104" s="31"/>
      <c r="AJ104" s="31"/>
      <c r="AK104" s="31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  <c r="LT104" s="25"/>
      <c r="LU104" s="25"/>
      <c r="LV104" s="25"/>
      <c r="LW104" s="25"/>
      <c r="LX104" s="25"/>
      <c r="LY104" s="25"/>
      <c r="LZ104" s="25"/>
      <c r="MA104" s="25"/>
      <c r="MB104" s="25"/>
      <c r="MC104" s="25"/>
      <c r="MD104" s="25"/>
      <c r="ME104" s="25"/>
      <c r="MF104" s="25"/>
      <c r="MG104" s="25"/>
      <c r="MH104" s="25"/>
    </row>
    <row r="105" spans="1:346" s="26" customFormat="1">
      <c r="A105" s="21"/>
      <c r="B105" s="22"/>
      <c r="C105" s="4"/>
      <c r="D105" s="7"/>
      <c r="E105" s="7"/>
      <c r="F105" s="4"/>
      <c r="G105" s="4"/>
      <c r="H105" s="4"/>
      <c r="I105" s="77"/>
      <c r="J105" s="156"/>
      <c r="K105" s="77"/>
      <c r="L105" s="78"/>
      <c r="M105" s="78"/>
      <c r="N105" s="49"/>
      <c r="O105" s="49" t="e">
        <f>IF($E105="posto/hora extra",0,IF(OR(E105="posto/dia",E105="posto/dia líder"),VLOOKUP($C105,'Indicadores Financeiros'!$A$107:$J$119,8,FALSE)+VLOOKUP($C105,'Indicadores Financeiros'!$A$107:$J$119,9,FALSE)+VLOOKUP($C105,'Indicadores Financeiros'!$A$107:$J$119,10,FALSE),IF('Indicadores Financeiros'!$J$91=0,0,(VLOOKUP($C105,'Indicadores Financeiros'!$A$107:$J$119,9,FALSE)+VLOOKUP('Relatório Custo'!$C105,'Indicadores Financeiros'!$A$107:$J$119,10,FALSE)+('Indicadores Financeiros'!$J$87*'Relatório Custo'!$H105)))))</f>
        <v>#N/A</v>
      </c>
      <c r="P105" s="49"/>
      <c r="Q105" s="81"/>
      <c r="R105" s="81"/>
      <c r="S105" s="82"/>
      <c r="T105" s="47"/>
      <c r="U105" s="83"/>
      <c r="V105" s="24"/>
      <c r="W105" s="91"/>
      <c r="X105" s="20"/>
      <c r="Y105" s="114"/>
      <c r="Z105" s="43"/>
      <c r="AA105" s="41"/>
      <c r="AB105" s="25"/>
      <c r="AC105" s="23"/>
      <c r="AD105" s="23"/>
      <c r="AE105" s="154"/>
      <c r="AF105" s="155"/>
      <c r="AG105" s="155"/>
      <c r="AH105" s="31"/>
      <c r="AI105" s="31"/>
      <c r="AJ105" s="31"/>
      <c r="AK105" s="31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</row>
    <row r="106" spans="1:346" s="26" customFormat="1">
      <c r="A106" s="21"/>
      <c r="B106" s="22"/>
      <c r="C106" s="4"/>
      <c r="D106" s="7"/>
      <c r="E106" s="7"/>
      <c r="F106" s="4"/>
      <c r="G106" s="4"/>
      <c r="H106" s="4"/>
      <c r="I106" s="77"/>
      <c r="J106" s="156"/>
      <c r="K106" s="77"/>
      <c r="L106" s="78"/>
      <c r="M106" s="78"/>
      <c r="N106" s="49"/>
      <c r="O106" s="49" t="e">
        <f>IF($E106="posto/hora extra",0,IF(OR(E106="posto/dia",E106="posto/dia líder"),VLOOKUP($C106,'Indicadores Financeiros'!$A$107:$J$119,8,FALSE)+VLOOKUP($C106,'Indicadores Financeiros'!$A$107:$J$119,9,FALSE)+VLOOKUP($C106,'Indicadores Financeiros'!$A$107:$J$119,10,FALSE),IF('Indicadores Financeiros'!$J$91=0,0,(VLOOKUP($C106,'Indicadores Financeiros'!$A$107:$J$119,9,FALSE)+VLOOKUP('Relatório Custo'!$C106,'Indicadores Financeiros'!$A$107:$J$119,10,FALSE)+('Indicadores Financeiros'!$J$87*'Relatório Custo'!$H106)))))</f>
        <v>#N/A</v>
      </c>
      <c r="P106" s="49"/>
      <c r="Q106" s="81"/>
      <c r="R106" s="81"/>
      <c r="S106" s="82"/>
      <c r="T106" s="47"/>
      <c r="U106" s="83"/>
      <c r="V106" s="24"/>
      <c r="W106" s="91"/>
      <c r="X106" s="20"/>
      <c r="Y106" s="114"/>
      <c r="Z106" s="43"/>
      <c r="AA106" s="41"/>
      <c r="AB106" s="25"/>
      <c r="AC106" s="23"/>
      <c r="AD106" s="23"/>
      <c r="AE106" s="154"/>
      <c r="AF106" s="155"/>
      <c r="AG106" s="155"/>
      <c r="AH106" s="31"/>
      <c r="AI106" s="31"/>
      <c r="AJ106" s="31"/>
      <c r="AK106" s="31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  <c r="LT106" s="25"/>
      <c r="LU106" s="25"/>
      <c r="LV106" s="25"/>
      <c r="LW106" s="25"/>
      <c r="LX106" s="25"/>
      <c r="LY106" s="25"/>
      <c r="LZ106" s="25"/>
      <c r="MA106" s="25"/>
      <c r="MB106" s="25"/>
      <c r="MC106" s="25"/>
      <c r="MD106" s="25"/>
      <c r="ME106" s="25"/>
      <c r="MF106" s="25"/>
      <c r="MG106" s="25"/>
      <c r="MH106" s="25"/>
    </row>
    <row r="107" spans="1:346" s="26" customFormat="1">
      <c r="A107" s="21"/>
      <c r="B107" s="22"/>
      <c r="C107" s="4"/>
      <c r="D107" s="7"/>
      <c r="E107" s="7"/>
      <c r="F107" s="4"/>
      <c r="G107" s="4"/>
      <c r="H107" s="4"/>
      <c r="I107" s="77"/>
      <c r="J107" s="156"/>
      <c r="K107" s="77"/>
      <c r="L107" s="78"/>
      <c r="M107" s="78"/>
      <c r="N107" s="49"/>
      <c r="O107" s="49" t="e">
        <f>IF($E107="posto/hora extra",0,IF(OR(E107="posto/dia",E107="posto/dia líder"),VLOOKUP($C107,'Indicadores Financeiros'!$A$107:$J$119,8,FALSE)+VLOOKUP($C107,'Indicadores Financeiros'!$A$107:$J$119,9,FALSE)+VLOOKUP($C107,'Indicadores Financeiros'!$A$107:$J$119,10,FALSE),IF('Indicadores Financeiros'!$J$91=0,0,(VLOOKUP($C107,'Indicadores Financeiros'!$A$107:$J$119,9,FALSE)+VLOOKUP('Relatório Custo'!$C107,'Indicadores Financeiros'!$A$107:$J$119,10,FALSE)+('Indicadores Financeiros'!$J$87*'Relatório Custo'!$H107)))))</f>
        <v>#N/A</v>
      </c>
      <c r="P107" s="49"/>
      <c r="Q107" s="81"/>
      <c r="R107" s="81"/>
      <c r="S107" s="82"/>
      <c r="T107" s="47"/>
      <c r="U107" s="83"/>
      <c r="V107" s="24"/>
      <c r="W107" s="91"/>
      <c r="X107" s="20"/>
      <c r="Y107" s="114"/>
      <c r="Z107" s="43"/>
      <c r="AA107" s="41"/>
      <c r="AB107" s="25"/>
      <c r="AC107" s="23"/>
      <c r="AD107" s="23"/>
      <c r="AE107" s="154"/>
      <c r="AF107" s="155"/>
      <c r="AG107" s="155"/>
      <c r="AH107" s="31"/>
      <c r="AI107" s="31"/>
      <c r="AJ107" s="31"/>
      <c r="AK107" s="31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</row>
    <row r="108" spans="1:346" s="26" customFormat="1">
      <c r="A108" s="21"/>
      <c r="B108" s="22"/>
      <c r="C108" s="4"/>
      <c r="D108" s="7"/>
      <c r="E108" s="7"/>
      <c r="F108" s="4"/>
      <c r="G108" s="4"/>
      <c r="H108" s="4"/>
      <c r="I108" s="77"/>
      <c r="J108" s="156"/>
      <c r="K108" s="77"/>
      <c r="L108" s="78"/>
      <c r="M108" s="78"/>
      <c r="N108" s="49"/>
      <c r="O108" s="49" t="e">
        <f>IF($E108="posto/hora extra",0,IF(OR(E108="posto/dia",E108="posto/dia líder"),VLOOKUP($C108,'Indicadores Financeiros'!$A$107:$J$119,8,FALSE)+VLOOKUP($C108,'Indicadores Financeiros'!$A$107:$J$119,9,FALSE)+VLOOKUP($C108,'Indicadores Financeiros'!$A$107:$J$119,10,FALSE),IF('Indicadores Financeiros'!$J$91=0,0,(VLOOKUP($C108,'Indicadores Financeiros'!$A$107:$J$119,9,FALSE)+VLOOKUP('Relatório Custo'!$C108,'Indicadores Financeiros'!$A$107:$J$119,10,FALSE)+('Indicadores Financeiros'!$J$87*'Relatório Custo'!$H108)))))</f>
        <v>#N/A</v>
      </c>
      <c r="P108" s="49"/>
      <c r="Q108" s="81"/>
      <c r="R108" s="81"/>
      <c r="S108" s="82"/>
      <c r="T108" s="47"/>
      <c r="U108" s="83"/>
      <c r="V108" s="24"/>
      <c r="W108" s="91"/>
      <c r="X108" s="20"/>
      <c r="Y108" s="114"/>
      <c r="Z108" s="43"/>
      <c r="AA108" s="41"/>
      <c r="AB108" s="25"/>
      <c r="AC108" s="23"/>
      <c r="AD108" s="23"/>
      <c r="AE108" s="154"/>
      <c r="AF108" s="155"/>
      <c r="AG108" s="155"/>
      <c r="AH108" s="31"/>
      <c r="AI108" s="31"/>
      <c r="AJ108" s="31"/>
      <c r="AK108" s="31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</row>
    <row r="109" spans="1:346" s="26" customFormat="1">
      <c r="A109" s="21"/>
      <c r="B109" s="22"/>
      <c r="C109" s="4"/>
      <c r="D109" s="7"/>
      <c r="E109" s="7"/>
      <c r="F109" s="4"/>
      <c r="G109" s="4"/>
      <c r="H109" s="4"/>
      <c r="I109" s="77"/>
      <c r="J109" s="156"/>
      <c r="K109" s="77"/>
      <c r="L109" s="78"/>
      <c r="M109" s="78"/>
      <c r="N109" s="49"/>
      <c r="O109" s="49" t="e">
        <f>IF($E109="posto/hora extra",0,IF(OR(E109="posto/dia",E109="posto/dia líder"),VLOOKUP($C109,'Indicadores Financeiros'!$A$107:$J$119,8,FALSE)+VLOOKUP($C109,'Indicadores Financeiros'!$A$107:$J$119,9,FALSE)+VLOOKUP($C109,'Indicadores Financeiros'!$A$107:$J$119,10,FALSE),IF('Indicadores Financeiros'!$J$91=0,0,(VLOOKUP($C109,'Indicadores Financeiros'!$A$107:$J$119,9,FALSE)+VLOOKUP('Relatório Custo'!$C109,'Indicadores Financeiros'!$A$107:$J$119,10,FALSE)+('Indicadores Financeiros'!$J$87*'Relatório Custo'!$H109)))))</f>
        <v>#N/A</v>
      </c>
      <c r="P109" s="49"/>
      <c r="Q109" s="81"/>
      <c r="R109" s="81"/>
      <c r="S109" s="82"/>
      <c r="T109" s="47"/>
      <c r="U109" s="83"/>
      <c r="V109" s="24"/>
      <c r="W109" s="91"/>
      <c r="X109" s="20"/>
      <c r="Y109" s="114"/>
      <c r="Z109" s="43"/>
      <c r="AA109" s="41"/>
      <c r="AB109" s="25"/>
      <c r="AC109" s="23"/>
      <c r="AD109" s="23"/>
      <c r="AE109" s="154"/>
      <c r="AF109" s="155"/>
      <c r="AG109" s="155"/>
      <c r="AH109" s="31"/>
      <c r="AI109" s="31"/>
      <c r="AJ109" s="31"/>
      <c r="AK109" s="31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</row>
    <row r="110" spans="1:346" s="26" customFormat="1">
      <c r="A110" s="21"/>
      <c r="B110" s="22"/>
      <c r="C110" s="4"/>
      <c r="D110" s="7"/>
      <c r="E110" s="7"/>
      <c r="F110" s="4"/>
      <c r="G110" s="4"/>
      <c r="H110" s="4"/>
      <c r="I110" s="77"/>
      <c r="J110" s="156"/>
      <c r="K110" s="77"/>
      <c r="L110" s="78"/>
      <c r="M110" s="78"/>
      <c r="N110" s="49"/>
      <c r="O110" s="49" t="e">
        <f>IF($E110="posto/hora extra",0,IF(OR(E110="posto/dia",E110="posto/dia líder"),VLOOKUP($C110,'Indicadores Financeiros'!$A$107:$J$119,8,FALSE)+VLOOKUP($C110,'Indicadores Financeiros'!$A$107:$J$119,9,FALSE)+VLOOKUP($C110,'Indicadores Financeiros'!$A$107:$J$119,10,FALSE),IF('Indicadores Financeiros'!$J$91=0,0,(VLOOKUP($C110,'Indicadores Financeiros'!$A$107:$J$119,9,FALSE)+VLOOKUP('Relatório Custo'!$C110,'Indicadores Financeiros'!$A$107:$J$119,10,FALSE)+('Indicadores Financeiros'!$J$87*'Relatório Custo'!$H110)))))</f>
        <v>#N/A</v>
      </c>
      <c r="P110" s="49"/>
      <c r="Q110" s="81"/>
      <c r="R110" s="81"/>
      <c r="S110" s="82"/>
      <c r="T110" s="47"/>
      <c r="U110" s="83"/>
      <c r="V110" s="24"/>
      <c r="W110" s="91"/>
      <c r="X110" s="20"/>
      <c r="Y110" s="114"/>
      <c r="Z110" s="43"/>
      <c r="AA110" s="41"/>
      <c r="AB110" s="25"/>
      <c r="AC110" s="23"/>
      <c r="AD110" s="23"/>
      <c r="AE110" s="154"/>
      <c r="AF110" s="155"/>
      <c r="AG110" s="155"/>
      <c r="AH110" s="31"/>
      <c r="AI110" s="31"/>
      <c r="AJ110" s="31"/>
      <c r="AK110" s="31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</row>
    <row r="111" spans="1:346" s="26" customFormat="1">
      <c r="A111" s="21"/>
      <c r="B111" s="22"/>
      <c r="C111" s="4"/>
      <c r="D111" s="7"/>
      <c r="E111" s="7"/>
      <c r="F111" s="4"/>
      <c r="G111" s="4"/>
      <c r="H111" s="4"/>
      <c r="I111" s="77"/>
      <c r="J111" s="156"/>
      <c r="K111" s="77"/>
      <c r="L111" s="78"/>
      <c r="M111" s="78"/>
      <c r="N111" s="49"/>
      <c r="O111" s="49" t="e">
        <f>IF($E111="posto/hora extra",0,IF(OR(E111="posto/dia",E111="posto/dia líder"),VLOOKUP($C111,'Indicadores Financeiros'!$A$107:$J$119,8,FALSE)+VLOOKUP($C111,'Indicadores Financeiros'!$A$107:$J$119,9,FALSE)+VLOOKUP($C111,'Indicadores Financeiros'!$A$107:$J$119,10,FALSE),IF('Indicadores Financeiros'!$J$91=0,0,(VLOOKUP($C111,'Indicadores Financeiros'!$A$107:$J$119,9,FALSE)+VLOOKUP('Relatório Custo'!$C111,'Indicadores Financeiros'!$A$107:$J$119,10,FALSE)+('Indicadores Financeiros'!$J$87*'Relatório Custo'!$H111)))))</f>
        <v>#N/A</v>
      </c>
      <c r="P111" s="49"/>
      <c r="Q111" s="81"/>
      <c r="R111" s="81"/>
      <c r="S111" s="82"/>
      <c r="T111" s="47"/>
      <c r="U111" s="83"/>
      <c r="V111" s="24"/>
      <c r="W111" s="91"/>
      <c r="X111" s="20"/>
      <c r="Y111" s="114"/>
      <c r="Z111" s="43"/>
      <c r="AA111" s="41"/>
      <c r="AB111" s="25"/>
      <c r="AC111" s="23"/>
      <c r="AD111" s="23"/>
      <c r="AE111" s="154"/>
      <c r="AF111" s="155"/>
      <c r="AG111" s="155"/>
      <c r="AH111" s="31"/>
      <c r="AI111" s="31"/>
      <c r="AJ111" s="31"/>
      <c r="AK111" s="31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</row>
    <row r="112" spans="1:346" s="26" customFormat="1">
      <c r="A112" s="21"/>
      <c r="B112" s="22"/>
      <c r="C112" s="4"/>
      <c r="D112" s="7"/>
      <c r="E112" s="7"/>
      <c r="F112" s="4"/>
      <c r="G112" s="4"/>
      <c r="H112" s="4"/>
      <c r="I112" s="77"/>
      <c r="J112" s="156"/>
      <c r="K112" s="77"/>
      <c r="L112" s="78"/>
      <c r="M112" s="78"/>
      <c r="N112" s="49"/>
      <c r="O112" s="49" t="e">
        <f>IF($E112="posto/hora extra",0,IF(OR(E112="posto/dia",E112="posto/dia líder"),VLOOKUP($C112,'Indicadores Financeiros'!$A$107:$J$119,8,FALSE)+VLOOKUP($C112,'Indicadores Financeiros'!$A$107:$J$119,9,FALSE)+VLOOKUP($C112,'Indicadores Financeiros'!$A$107:$J$119,10,FALSE),IF('Indicadores Financeiros'!$J$91=0,0,(VLOOKUP($C112,'Indicadores Financeiros'!$A$107:$J$119,9,FALSE)+VLOOKUP('Relatório Custo'!$C112,'Indicadores Financeiros'!$A$107:$J$119,10,FALSE)+('Indicadores Financeiros'!$J$87*'Relatório Custo'!$H112)))))</f>
        <v>#N/A</v>
      </c>
      <c r="P112" s="49"/>
      <c r="Q112" s="81"/>
      <c r="R112" s="81"/>
      <c r="S112" s="82"/>
      <c r="T112" s="47"/>
      <c r="U112" s="83"/>
      <c r="V112" s="24"/>
      <c r="W112" s="91"/>
      <c r="X112" s="20"/>
      <c r="Y112" s="114"/>
      <c r="Z112" s="43"/>
      <c r="AA112" s="41"/>
      <c r="AB112" s="25"/>
      <c r="AC112" s="23"/>
      <c r="AD112" s="23"/>
      <c r="AE112" s="154"/>
      <c r="AF112" s="155"/>
      <c r="AG112" s="155"/>
      <c r="AH112" s="31"/>
      <c r="AI112" s="31"/>
      <c r="AJ112" s="31"/>
      <c r="AK112" s="31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</row>
    <row r="113" spans="1:346" s="26" customFormat="1">
      <c r="A113" s="21"/>
      <c r="B113" s="22"/>
      <c r="C113" s="4"/>
      <c r="D113" s="7"/>
      <c r="E113" s="7"/>
      <c r="F113" s="4"/>
      <c r="G113" s="4"/>
      <c r="H113" s="4"/>
      <c r="I113" s="77"/>
      <c r="J113" s="156"/>
      <c r="K113" s="77"/>
      <c r="L113" s="78"/>
      <c r="M113" s="78"/>
      <c r="N113" s="49"/>
      <c r="O113" s="49" t="e">
        <f>IF($E113="posto/hora extra",0,IF(OR(E113="posto/dia",E113="posto/dia líder"),VLOOKUP($C113,'Indicadores Financeiros'!$A$107:$J$119,8,FALSE)+VLOOKUP($C113,'Indicadores Financeiros'!$A$107:$J$119,9,FALSE)+VLOOKUP($C113,'Indicadores Financeiros'!$A$107:$J$119,10,FALSE),IF('Indicadores Financeiros'!$J$91=0,0,(VLOOKUP($C113,'Indicadores Financeiros'!$A$107:$J$119,9,FALSE)+VLOOKUP('Relatório Custo'!$C113,'Indicadores Financeiros'!$A$107:$J$119,10,FALSE)+('Indicadores Financeiros'!$J$87*'Relatório Custo'!$H113)))))</f>
        <v>#N/A</v>
      </c>
      <c r="P113" s="49"/>
      <c r="Q113" s="81"/>
      <c r="R113" s="81"/>
      <c r="S113" s="82"/>
      <c r="T113" s="47"/>
      <c r="U113" s="83"/>
      <c r="V113" s="24"/>
      <c r="W113" s="91"/>
      <c r="X113" s="20"/>
      <c r="Y113" s="114"/>
      <c r="Z113" s="43"/>
      <c r="AA113" s="41"/>
      <c r="AB113" s="25"/>
      <c r="AC113" s="23"/>
      <c r="AD113" s="23"/>
      <c r="AE113" s="154"/>
      <c r="AF113" s="155"/>
      <c r="AG113" s="155"/>
      <c r="AH113" s="31"/>
      <c r="AI113" s="31"/>
      <c r="AJ113" s="31"/>
      <c r="AK113" s="31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</row>
    <row r="114" spans="1:346" s="26" customFormat="1">
      <c r="A114" s="21"/>
      <c r="B114" s="22"/>
      <c r="C114" s="4"/>
      <c r="D114" s="7"/>
      <c r="E114" s="7"/>
      <c r="F114" s="4"/>
      <c r="G114" s="4"/>
      <c r="H114" s="4"/>
      <c r="I114" s="77"/>
      <c r="J114" s="156"/>
      <c r="K114" s="77"/>
      <c r="L114" s="78"/>
      <c r="M114" s="78"/>
      <c r="N114" s="49"/>
      <c r="O114" s="49" t="e">
        <f>IF($E114="posto/hora extra",0,IF(OR(E114="posto/dia",E114="posto/dia líder"),VLOOKUP($C114,'Indicadores Financeiros'!$A$107:$J$119,8,FALSE)+VLOOKUP($C114,'Indicadores Financeiros'!$A$107:$J$119,9,FALSE)+VLOOKUP($C114,'Indicadores Financeiros'!$A$107:$J$119,10,FALSE),IF('Indicadores Financeiros'!$J$91=0,0,(VLOOKUP($C114,'Indicadores Financeiros'!$A$107:$J$119,9,FALSE)+VLOOKUP('Relatório Custo'!$C114,'Indicadores Financeiros'!$A$107:$J$119,10,FALSE)+('Indicadores Financeiros'!$J$87*'Relatório Custo'!$H114)))))</f>
        <v>#N/A</v>
      </c>
      <c r="P114" s="49"/>
      <c r="Q114" s="81"/>
      <c r="R114" s="81"/>
      <c r="S114" s="82"/>
      <c r="T114" s="47"/>
      <c r="U114" s="83"/>
      <c r="V114" s="24"/>
      <c r="W114" s="91"/>
      <c r="X114" s="20"/>
      <c r="Y114" s="114"/>
      <c r="Z114" s="43"/>
      <c r="AA114" s="41"/>
      <c r="AB114" s="25"/>
      <c r="AC114" s="23"/>
      <c r="AD114" s="23"/>
      <c r="AE114" s="154"/>
      <c r="AF114" s="155"/>
      <c r="AG114" s="155"/>
      <c r="AH114" s="31"/>
      <c r="AI114" s="31"/>
      <c r="AJ114" s="31"/>
      <c r="AK114" s="31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</row>
    <row r="115" spans="1:346" s="26" customFormat="1">
      <c r="A115" s="21"/>
      <c r="B115" s="22"/>
      <c r="C115" s="4"/>
      <c r="D115" s="7"/>
      <c r="E115" s="7"/>
      <c r="F115" s="4"/>
      <c r="G115" s="4"/>
      <c r="H115" s="4"/>
      <c r="I115" s="77"/>
      <c r="J115" s="156"/>
      <c r="K115" s="77"/>
      <c r="L115" s="78"/>
      <c r="M115" s="78"/>
      <c r="N115" s="49"/>
      <c r="O115" s="49" t="e">
        <f>IF($E115="posto/hora extra",0,IF(OR(E115="posto/dia",E115="posto/dia líder"),VLOOKUP($C115,'Indicadores Financeiros'!$A$107:$J$119,8,FALSE)+VLOOKUP($C115,'Indicadores Financeiros'!$A$107:$J$119,9,FALSE)+VLOOKUP($C115,'Indicadores Financeiros'!$A$107:$J$119,10,FALSE),IF('Indicadores Financeiros'!$J$91=0,0,(VLOOKUP($C115,'Indicadores Financeiros'!$A$107:$J$119,9,FALSE)+VLOOKUP('Relatório Custo'!$C115,'Indicadores Financeiros'!$A$107:$J$119,10,FALSE)+('Indicadores Financeiros'!$J$87*'Relatório Custo'!$H115)))))</f>
        <v>#N/A</v>
      </c>
      <c r="P115" s="49"/>
      <c r="Q115" s="81"/>
      <c r="R115" s="81"/>
      <c r="S115" s="82"/>
      <c r="T115" s="47"/>
      <c r="U115" s="83"/>
      <c r="V115" s="24"/>
      <c r="W115" s="91"/>
      <c r="X115" s="20"/>
      <c r="Y115" s="114"/>
      <c r="Z115" s="43"/>
      <c r="AA115" s="41"/>
      <c r="AB115" s="25"/>
      <c r="AC115" s="23"/>
      <c r="AD115" s="23"/>
      <c r="AE115" s="154"/>
      <c r="AF115" s="155"/>
      <c r="AG115" s="155"/>
      <c r="AH115" s="31"/>
      <c r="AI115" s="31"/>
      <c r="AJ115" s="31"/>
      <c r="AK115" s="31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  <c r="LT115" s="25"/>
      <c r="LU115" s="25"/>
      <c r="LV115" s="25"/>
      <c r="LW115" s="25"/>
      <c r="LX115" s="25"/>
      <c r="LY115" s="25"/>
      <c r="LZ115" s="25"/>
      <c r="MA115" s="25"/>
      <c r="MB115" s="25"/>
      <c r="MC115" s="25"/>
      <c r="MD115" s="25"/>
      <c r="ME115" s="25"/>
      <c r="MF115" s="25"/>
      <c r="MG115" s="25"/>
      <c r="MH115" s="25"/>
    </row>
    <row r="116" spans="1:346" s="26" customFormat="1">
      <c r="A116" s="21"/>
      <c r="B116" s="22"/>
      <c r="C116" s="4"/>
      <c r="D116" s="7"/>
      <c r="E116" s="7"/>
      <c r="F116" s="4"/>
      <c r="G116" s="4"/>
      <c r="H116" s="4"/>
      <c r="I116" s="77"/>
      <c r="J116" s="156"/>
      <c r="K116" s="77"/>
      <c r="L116" s="78"/>
      <c r="M116" s="78"/>
      <c r="N116" s="49"/>
      <c r="O116" s="49" t="e">
        <f>IF($E116="posto/hora extra",0,IF(OR(E116="posto/dia",E116="posto/dia líder"),VLOOKUP($C116,'Indicadores Financeiros'!$A$107:$J$119,8,FALSE)+VLOOKUP($C116,'Indicadores Financeiros'!$A$107:$J$119,9,FALSE)+VLOOKUP($C116,'Indicadores Financeiros'!$A$107:$J$119,10,FALSE),IF('Indicadores Financeiros'!$J$91=0,0,(VLOOKUP($C116,'Indicadores Financeiros'!$A$107:$J$119,9,FALSE)+VLOOKUP('Relatório Custo'!$C116,'Indicadores Financeiros'!$A$107:$J$119,10,FALSE)+('Indicadores Financeiros'!$J$87*'Relatório Custo'!$H116)))))</f>
        <v>#N/A</v>
      </c>
      <c r="P116" s="49"/>
      <c r="Q116" s="81"/>
      <c r="R116" s="81"/>
      <c r="S116" s="82"/>
      <c r="T116" s="47"/>
      <c r="U116" s="83"/>
      <c r="V116" s="24"/>
      <c r="W116" s="91"/>
      <c r="X116" s="20"/>
      <c r="Y116" s="114"/>
      <c r="Z116" s="43"/>
      <c r="AA116" s="41"/>
      <c r="AB116" s="25"/>
      <c r="AC116" s="23"/>
      <c r="AD116" s="23"/>
      <c r="AE116" s="154"/>
      <c r="AF116" s="155"/>
      <c r="AG116" s="155"/>
      <c r="AH116" s="31"/>
      <c r="AI116" s="31"/>
      <c r="AJ116" s="31"/>
      <c r="AK116" s="31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</row>
    <row r="117" spans="1:346" s="26" customFormat="1">
      <c r="A117" s="21"/>
      <c r="B117" s="22"/>
      <c r="C117" s="4"/>
      <c r="D117" s="7"/>
      <c r="E117" s="7"/>
      <c r="F117" s="4"/>
      <c r="G117" s="4"/>
      <c r="H117" s="4"/>
      <c r="I117" s="77"/>
      <c r="J117" s="156"/>
      <c r="K117" s="77"/>
      <c r="L117" s="78"/>
      <c r="M117" s="78"/>
      <c r="N117" s="49"/>
      <c r="O117" s="49" t="e">
        <f>IF($E117="posto/hora extra",0,IF(OR(E117="posto/dia",E117="posto/dia líder"),VLOOKUP($C117,'Indicadores Financeiros'!$A$107:$J$119,8,FALSE)+VLOOKUP($C117,'Indicadores Financeiros'!$A$107:$J$119,9,FALSE)+VLOOKUP($C117,'Indicadores Financeiros'!$A$107:$J$119,10,FALSE),IF('Indicadores Financeiros'!$J$91=0,0,(VLOOKUP($C117,'Indicadores Financeiros'!$A$107:$J$119,9,FALSE)+VLOOKUP('Relatório Custo'!$C117,'Indicadores Financeiros'!$A$107:$J$119,10,FALSE)+('Indicadores Financeiros'!$J$87*'Relatório Custo'!$H117)))))</f>
        <v>#N/A</v>
      </c>
      <c r="P117" s="49"/>
      <c r="Q117" s="81"/>
      <c r="R117" s="81"/>
      <c r="S117" s="82"/>
      <c r="T117" s="47"/>
      <c r="U117" s="83"/>
      <c r="V117" s="24"/>
      <c r="W117" s="91"/>
      <c r="X117" s="20"/>
      <c r="Y117" s="114"/>
      <c r="Z117" s="43"/>
      <c r="AA117" s="41"/>
      <c r="AB117" s="25"/>
      <c r="AC117" s="23"/>
      <c r="AD117" s="23"/>
      <c r="AE117" s="154"/>
      <c r="AF117" s="155"/>
      <c r="AG117" s="155"/>
      <c r="AH117" s="31"/>
      <c r="AI117" s="31"/>
      <c r="AJ117" s="31"/>
      <c r="AK117" s="31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  <c r="LT117" s="25"/>
      <c r="LU117" s="25"/>
      <c r="LV117" s="25"/>
      <c r="LW117" s="25"/>
      <c r="LX117" s="25"/>
      <c r="LY117" s="25"/>
      <c r="LZ117" s="25"/>
      <c r="MA117" s="25"/>
      <c r="MB117" s="25"/>
      <c r="MC117" s="25"/>
      <c r="MD117" s="25"/>
      <c r="ME117" s="25"/>
      <c r="MF117" s="25"/>
      <c r="MG117" s="25"/>
      <c r="MH117" s="25"/>
    </row>
    <row r="118" spans="1:346" s="26" customFormat="1">
      <c r="A118" s="21"/>
      <c r="B118" s="22"/>
      <c r="C118" s="4"/>
      <c r="D118" s="7"/>
      <c r="E118" s="7"/>
      <c r="F118" s="4"/>
      <c r="G118" s="4"/>
      <c r="H118" s="4"/>
      <c r="I118" s="77"/>
      <c r="J118" s="156"/>
      <c r="K118" s="77"/>
      <c r="L118" s="78"/>
      <c r="M118" s="78"/>
      <c r="N118" s="49"/>
      <c r="O118" s="49" t="e">
        <f>IF($E118="posto/hora extra",0,IF(OR(E118="posto/dia",E118="posto/dia líder"),VLOOKUP($C118,'Indicadores Financeiros'!$A$107:$J$119,8,FALSE)+VLOOKUP($C118,'Indicadores Financeiros'!$A$107:$J$119,9,FALSE)+VLOOKUP($C118,'Indicadores Financeiros'!$A$107:$J$119,10,FALSE),IF('Indicadores Financeiros'!$J$91=0,0,(VLOOKUP($C118,'Indicadores Financeiros'!$A$107:$J$119,9,FALSE)+VLOOKUP('Relatório Custo'!$C118,'Indicadores Financeiros'!$A$107:$J$119,10,FALSE)+('Indicadores Financeiros'!$J$87*'Relatório Custo'!$H118)))))</f>
        <v>#N/A</v>
      </c>
      <c r="P118" s="49"/>
      <c r="Q118" s="81"/>
      <c r="R118" s="81"/>
      <c r="S118" s="82"/>
      <c r="T118" s="47"/>
      <c r="U118" s="83"/>
      <c r="V118" s="24"/>
      <c r="W118" s="91"/>
      <c r="X118" s="20"/>
      <c r="Y118" s="114"/>
      <c r="Z118" s="43"/>
      <c r="AA118" s="41"/>
      <c r="AB118" s="25"/>
      <c r="AC118" s="23"/>
      <c r="AD118" s="23"/>
      <c r="AE118" s="154"/>
      <c r="AF118" s="155"/>
      <c r="AG118" s="155"/>
      <c r="AH118" s="31"/>
      <c r="AI118" s="31"/>
      <c r="AJ118" s="31"/>
      <c r="AK118" s="31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  <c r="LT118" s="25"/>
      <c r="LU118" s="25"/>
      <c r="LV118" s="25"/>
      <c r="LW118" s="25"/>
      <c r="LX118" s="25"/>
      <c r="LY118" s="25"/>
      <c r="LZ118" s="25"/>
      <c r="MA118" s="25"/>
      <c r="MB118" s="25"/>
      <c r="MC118" s="25"/>
      <c r="MD118" s="25"/>
      <c r="ME118" s="25"/>
      <c r="MF118" s="25"/>
      <c r="MG118" s="25"/>
      <c r="MH118" s="25"/>
    </row>
    <row r="119" spans="1:346" s="26" customFormat="1">
      <c r="A119" s="21"/>
      <c r="B119" s="22"/>
      <c r="C119" s="4"/>
      <c r="D119" s="7"/>
      <c r="E119" s="7"/>
      <c r="F119" s="4"/>
      <c r="G119" s="4"/>
      <c r="H119" s="4"/>
      <c r="I119" s="77"/>
      <c r="J119" s="156"/>
      <c r="K119" s="77"/>
      <c r="L119" s="78"/>
      <c r="M119" s="78"/>
      <c r="N119" s="49"/>
      <c r="O119" s="49" t="e">
        <f>IF($E119="posto/hora extra",0,IF(OR(E119="posto/dia",E119="posto/dia líder"),VLOOKUP($C119,'Indicadores Financeiros'!$A$107:$J$119,8,FALSE)+VLOOKUP($C119,'Indicadores Financeiros'!$A$107:$J$119,9,FALSE)+VLOOKUP($C119,'Indicadores Financeiros'!$A$107:$J$119,10,FALSE),IF('Indicadores Financeiros'!$J$91=0,0,(VLOOKUP($C119,'Indicadores Financeiros'!$A$107:$J$119,9,FALSE)+VLOOKUP('Relatório Custo'!$C119,'Indicadores Financeiros'!$A$107:$J$119,10,FALSE)+('Indicadores Financeiros'!$J$87*'Relatório Custo'!$H119)))))</f>
        <v>#N/A</v>
      </c>
      <c r="P119" s="49"/>
      <c r="Q119" s="81"/>
      <c r="R119" s="81"/>
      <c r="S119" s="82"/>
      <c r="T119" s="47"/>
      <c r="U119" s="83"/>
      <c r="V119" s="24"/>
      <c r="W119" s="91"/>
      <c r="X119" s="20"/>
      <c r="Y119" s="114"/>
      <c r="Z119" s="43"/>
      <c r="AA119" s="41"/>
      <c r="AB119" s="25"/>
      <c r="AC119" s="23"/>
      <c r="AD119" s="23"/>
      <c r="AE119" s="154"/>
      <c r="AF119" s="155"/>
      <c r="AG119" s="155"/>
      <c r="AH119" s="31"/>
      <c r="AI119" s="31"/>
      <c r="AJ119" s="31"/>
      <c r="AK119" s="31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  <c r="LT119" s="25"/>
      <c r="LU119" s="25"/>
      <c r="LV119" s="25"/>
      <c r="LW119" s="25"/>
      <c r="LX119" s="25"/>
      <c r="LY119" s="25"/>
      <c r="LZ119" s="25"/>
      <c r="MA119" s="25"/>
      <c r="MB119" s="25"/>
      <c r="MC119" s="25"/>
      <c r="MD119" s="25"/>
      <c r="ME119" s="25"/>
      <c r="MF119" s="25"/>
      <c r="MG119" s="25"/>
      <c r="MH119" s="25"/>
    </row>
    <row r="120" spans="1:346" s="26" customFormat="1">
      <c r="A120" s="21"/>
      <c r="B120" s="22"/>
      <c r="C120" s="4"/>
      <c r="D120" s="7"/>
      <c r="E120" s="7"/>
      <c r="F120" s="4"/>
      <c r="G120" s="4"/>
      <c r="H120" s="4"/>
      <c r="I120" s="77"/>
      <c r="J120" s="156"/>
      <c r="K120" s="77"/>
      <c r="L120" s="78"/>
      <c r="M120" s="78"/>
      <c r="N120" s="49"/>
      <c r="O120" s="49" t="e">
        <f>IF($E120="posto/hora extra",0,IF(OR(E120="posto/dia",E120="posto/dia líder"),VLOOKUP($C120,'Indicadores Financeiros'!$A$107:$J$119,8,FALSE)+VLOOKUP($C120,'Indicadores Financeiros'!$A$107:$J$119,9,FALSE)+VLOOKUP($C120,'Indicadores Financeiros'!$A$107:$J$119,10,FALSE),IF('Indicadores Financeiros'!$J$91=0,0,(VLOOKUP($C120,'Indicadores Financeiros'!$A$107:$J$119,9,FALSE)+VLOOKUP('Relatório Custo'!$C120,'Indicadores Financeiros'!$A$107:$J$119,10,FALSE)+('Indicadores Financeiros'!$J$87*'Relatório Custo'!$H120)))))</f>
        <v>#N/A</v>
      </c>
      <c r="P120" s="49"/>
      <c r="Q120" s="81"/>
      <c r="R120" s="81"/>
      <c r="S120" s="82"/>
      <c r="T120" s="47"/>
      <c r="U120" s="83"/>
      <c r="V120" s="24"/>
      <c r="W120" s="91"/>
      <c r="X120" s="20"/>
      <c r="Y120" s="114"/>
      <c r="Z120" s="43"/>
      <c r="AA120" s="41"/>
      <c r="AB120" s="25"/>
      <c r="AC120" s="23"/>
      <c r="AD120" s="23"/>
      <c r="AE120" s="154"/>
      <c r="AF120" s="155"/>
      <c r="AG120" s="155"/>
      <c r="AH120" s="31"/>
      <c r="AI120" s="31"/>
      <c r="AJ120" s="31"/>
      <c r="AK120" s="31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</row>
    <row r="121" spans="1:346" s="26" customFormat="1">
      <c r="A121" s="21"/>
      <c r="B121" s="22"/>
      <c r="C121" s="4"/>
      <c r="D121" s="7"/>
      <c r="E121" s="7"/>
      <c r="F121" s="4"/>
      <c r="G121" s="4"/>
      <c r="H121" s="4"/>
      <c r="I121" s="77"/>
      <c r="J121" s="156"/>
      <c r="K121" s="77"/>
      <c r="L121" s="78"/>
      <c r="M121" s="78"/>
      <c r="N121" s="49"/>
      <c r="O121" s="49" t="e">
        <f>IF($E121="posto/hora extra",0,IF(OR(E121="posto/dia",E121="posto/dia líder"),VLOOKUP($C121,'Indicadores Financeiros'!$A$107:$J$119,8,FALSE)+VLOOKUP($C121,'Indicadores Financeiros'!$A$107:$J$119,9,FALSE)+VLOOKUP($C121,'Indicadores Financeiros'!$A$107:$J$119,10,FALSE),IF('Indicadores Financeiros'!$J$91=0,0,(VLOOKUP($C121,'Indicadores Financeiros'!$A$107:$J$119,9,FALSE)+VLOOKUP('Relatório Custo'!$C121,'Indicadores Financeiros'!$A$107:$J$119,10,FALSE)+('Indicadores Financeiros'!$J$87*'Relatório Custo'!$H121)))))</f>
        <v>#N/A</v>
      </c>
      <c r="P121" s="49"/>
      <c r="Q121" s="81"/>
      <c r="R121" s="81"/>
      <c r="S121" s="82"/>
      <c r="T121" s="47"/>
      <c r="U121" s="83"/>
      <c r="V121" s="24"/>
      <c r="W121" s="91"/>
      <c r="X121" s="20"/>
      <c r="Y121" s="114"/>
      <c r="Z121" s="43"/>
      <c r="AA121" s="41"/>
      <c r="AB121" s="25"/>
      <c r="AC121" s="23"/>
      <c r="AD121" s="23"/>
      <c r="AE121" s="154"/>
      <c r="AF121" s="155"/>
      <c r="AG121" s="155"/>
      <c r="AH121" s="31"/>
      <c r="AI121" s="31"/>
      <c r="AJ121" s="31"/>
      <c r="AK121" s="31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  <c r="LT121" s="25"/>
      <c r="LU121" s="25"/>
      <c r="LV121" s="25"/>
      <c r="LW121" s="25"/>
      <c r="LX121" s="25"/>
      <c r="LY121" s="25"/>
      <c r="LZ121" s="25"/>
      <c r="MA121" s="25"/>
      <c r="MB121" s="25"/>
      <c r="MC121" s="25"/>
      <c r="MD121" s="25"/>
      <c r="ME121" s="25"/>
      <c r="MF121" s="25"/>
      <c r="MG121" s="25"/>
      <c r="MH121" s="25"/>
    </row>
    <row r="122" spans="1:346" s="26" customFormat="1">
      <c r="A122" s="21"/>
      <c r="B122" s="22"/>
      <c r="C122" s="4"/>
      <c r="D122" s="7"/>
      <c r="E122" s="7"/>
      <c r="F122" s="4"/>
      <c r="G122" s="4"/>
      <c r="H122" s="4"/>
      <c r="I122" s="77"/>
      <c r="J122" s="156"/>
      <c r="K122" s="77"/>
      <c r="L122" s="78"/>
      <c r="M122" s="78"/>
      <c r="N122" s="49"/>
      <c r="O122" s="49" t="e">
        <f>IF($E122="posto/hora extra",0,IF(OR(E122="posto/dia",E122="posto/dia líder"),VLOOKUP($C122,'Indicadores Financeiros'!$A$107:$J$119,8,FALSE)+VLOOKUP($C122,'Indicadores Financeiros'!$A$107:$J$119,9,FALSE)+VLOOKUP($C122,'Indicadores Financeiros'!$A$107:$J$119,10,FALSE),IF('Indicadores Financeiros'!$J$91=0,0,(VLOOKUP($C122,'Indicadores Financeiros'!$A$107:$J$119,9,FALSE)+VLOOKUP('Relatório Custo'!$C122,'Indicadores Financeiros'!$A$107:$J$119,10,FALSE)+('Indicadores Financeiros'!$J$87*'Relatório Custo'!$H122)))))</f>
        <v>#N/A</v>
      </c>
      <c r="P122" s="49"/>
      <c r="Q122" s="81"/>
      <c r="R122" s="81"/>
      <c r="S122" s="82"/>
      <c r="T122" s="47"/>
      <c r="U122" s="83"/>
      <c r="V122" s="24"/>
      <c r="W122" s="91"/>
      <c r="X122" s="20"/>
      <c r="Y122" s="114"/>
      <c r="Z122" s="43"/>
      <c r="AA122" s="41"/>
      <c r="AB122" s="25"/>
      <c r="AC122" s="23"/>
      <c r="AD122" s="23"/>
      <c r="AE122" s="154"/>
      <c r="AF122" s="155"/>
      <c r="AG122" s="155"/>
      <c r="AH122" s="31"/>
      <c r="AI122" s="31"/>
      <c r="AJ122" s="31"/>
      <c r="AK122" s="31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</row>
    <row r="123" spans="1:346" s="26" customFormat="1">
      <c r="A123" s="21"/>
      <c r="B123" s="22"/>
      <c r="C123" s="4"/>
      <c r="D123" s="7"/>
      <c r="E123" s="7"/>
      <c r="F123" s="4"/>
      <c r="G123" s="4"/>
      <c r="H123" s="4"/>
      <c r="I123" s="77"/>
      <c r="J123" s="156"/>
      <c r="K123" s="77"/>
      <c r="L123" s="78"/>
      <c r="M123" s="78"/>
      <c r="N123" s="49"/>
      <c r="O123" s="49" t="e">
        <f>IF($E123="posto/hora extra",0,IF(OR(E123="posto/dia",E123="posto/dia líder"),VLOOKUP($C123,'Indicadores Financeiros'!$A$107:$J$119,8,FALSE)+VLOOKUP($C123,'Indicadores Financeiros'!$A$107:$J$119,9,FALSE)+VLOOKUP($C123,'Indicadores Financeiros'!$A$107:$J$119,10,FALSE),IF('Indicadores Financeiros'!$J$91=0,0,(VLOOKUP($C123,'Indicadores Financeiros'!$A$107:$J$119,9,FALSE)+VLOOKUP('Relatório Custo'!$C123,'Indicadores Financeiros'!$A$107:$J$119,10,FALSE)+('Indicadores Financeiros'!$J$87*'Relatório Custo'!$H123)))))</f>
        <v>#N/A</v>
      </c>
      <c r="P123" s="49"/>
      <c r="Q123" s="81"/>
      <c r="R123" s="81"/>
      <c r="S123" s="82"/>
      <c r="T123" s="47"/>
      <c r="U123" s="83"/>
      <c r="V123" s="24"/>
      <c r="W123" s="91"/>
      <c r="X123" s="20"/>
      <c r="Y123" s="114"/>
      <c r="Z123" s="43"/>
      <c r="AA123" s="41"/>
      <c r="AB123" s="25"/>
      <c r="AC123" s="23"/>
      <c r="AD123" s="23"/>
      <c r="AE123" s="154"/>
      <c r="AF123" s="155"/>
      <c r="AG123" s="155"/>
      <c r="AH123" s="31"/>
      <c r="AI123" s="31"/>
      <c r="AJ123" s="31"/>
      <c r="AK123" s="31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</row>
    <row r="124" spans="1:346" s="26" customFormat="1">
      <c r="A124" s="21"/>
      <c r="B124" s="22"/>
      <c r="C124" s="4"/>
      <c r="D124" s="7"/>
      <c r="E124" s="7"/>
      <c r="F124" s="4"/>
      <c r="G124" s="4"/>
      <c r="H124" s="4"/>
      <c r="I124" s="77"/>
      <c r="J124" s="156"/>
      <c r="K124" s="77"/>
      <c r="L124" s="78"/>
      <c r="M124" s="78"/>
      <c r="N124" s="49"/>
      <c r="O124" s="49" t="e">
        <f>IF($E124="posto/hora extra",0,IF(OR(E124="posto/dia",E124="posto/dia líder"),VLOOKUP($C124,'Indicadores Financeiros'!$A$107:$J$119,8,FALSE)+VLOOKUP($C124,'Indicadores Financeiros'!$A$107:$J$119,9,FALSE)+VLOOKUP($C124,'Indicadores Financeiros'!$A$107:$J$119,10,FALSE),IF('Indicadores Financeiros'!$J$91=0,0,(VLOOKUP($C124,'Indicadores Financeiros'!$A$107:$J$119,9,FALSE)+VLOOKUP('Relatório Custo'!$C124,'Indicadores Financeiros'!$A$107:$J$119,10,FALSE)+('Indicadores Financeiros'!$J$87*'Relatório Custo'!$H124)))))</f>
        <v>#N/A</v>
      </c>
      <c r="P124" s="49"/>
      <c r="Q124" s="81"/>
      <c r="R124" s="81"/>
      <c r="S124" s="82"/>
      <c r="T124" s="47"/>
      <c r="U124" s="83"/>
      <c r="V124" s="24"/>
      <c r="W124" s="91"/>
      <c r="X124" s="20"/>
      <c r="Y124" s="114"/>
      <c r="Z124" s="43"/>
      <c r="AA124" s="41"/>
      <c r="AB124" s="25"/>
      <c r="AC124" s="23"/>
      <c r="AD124" s="23"/>
      <c r="AE124" s="154"/>
      <c r="AF124" s="155"/>
      <c r="AG124" s="155"/>
      <c r="AH124" s="31"/>
      <c r="AI124" s="31"/>
      <c r="AJ124" s="31"/>
      <c r="AK124" s="31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</row>
    <row r="125" spans="1:346" s="26" customFormat="1">
      <c r="A125" s="21"/>
      <c r="B125" s="22"/>
      <c r="C125" s="4"/>
      <c r="D125" s="7"/>
      <c r="E125" s="7"/>
      <c r="F125" s="4"/>
      <c r="G125" s="4"/>
      <c r="H125" s="4"/>
      <c r="I125" s="77"/>
      <c r="J125" s="156"/>
      <c r="K125" s="77"/>
      <c r="L125" s="78"/>
      <c r="M125" s="78"/>
      <c r="N125" s="49"/>
      <c r="O125" s="49" t="e">
        <f>IF($E125="posto/hora extra",0,IF(OR(E125="posto/dia",E125="posto/dia líder"),VLOOKUP($C125,'Indicadores Financeiros'!$A$107:$J$119,8,FALSE)+VLOOKUP($C125,'Indicadores Financeiros'!$A$107:$J$119,9,FALSE)+VLOOKUP($C125,'Indicadores Financeiros'!$A$107:$J$119,10,FALSE),IF('Indicadores Financeiros'!$J$91=0,0,(VLOOKUP($C125,'Indicadores Financeiros'!$A$107:$J$119,9,FALSE)+VLOOKUP('Relatório Custo'!$C125,'Indicadores Financeiros'!$A$107:$J$119,10,FALSE)+('Indicadores Financeiros'!$J$87*'Relatório Custo'!$H125)))))</f>
        <v>#N/A</v>
      </c>
      <c r="P125" s="49"/>
      <c r="Q125" s="81"/>
      <c r="R125" s="81"/>
      <c r="S125" s="82"/>
      <c r="T125" s="47"/>
      <c r="U125" s="83"/>
      <c r="V125" s="24"/>
      <c r="W125" s="91"/>
      <c r="X125" s="20"/>
      <c r="Y125" s="114"/>
      <c r="Z125" s="43"/>
      <c r="AA125" s="41"/>
      <c r="AB125" s="25"/>
      <c r="AC125" s="23"/>
      <c r="AD125" s="23"/>
      <c r="AE125" s="154"/>
      <c r="AF125" s="155"/>
      <c r="AG125" s="155"/>
      <c r="AH125" s="31"/>
      <c r="AI125" s="31"/>
      <c r="AJ125" s="31"/>
      <c r="AK125" s="31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</row>
    <row r="126" spans="1:346" s="26" customFormat="1">
      <c r="A126" s="21"/>
      <c r="B126" s="22"/>
      <c r="C126" s="4"/>
      <c r="D126" s="7"/>
      <c r="E126" s="7"/>
      <c r="F126" s="4"/>
      <c r="G126" s="4"/>
      <c r="H126" s="4"/>
      <c r="I126" s="77"/>
      <c r="J126" s="156"/>
      <c r="K126" s="77"/>
      <c r="L126" s="78"/>
      <c r="M126" s="78"/>
      <c r="N126" s="49"/>
      <c r="O126" s="49" t="e">
        <f>IF($E126="posto/hora extra",0,IF(OR(E126="posto/dia",E126="posto/dia líder"),VLOOKUP($C126,'Indicadores Financeiros'!$A$107:$J$119,8,FALSE)+VLOOKUP($C126,'Indicadores Financeiros'!$A$107:$J$119,9,FALSE)+VLOOKUP($C126,'Indicadores Financeiros'!$A$107:$J$119,10,FALSE),IF('Indicadores Financeiros'!$J$91=0,0,(VLOOKUP($C126,'Indicadores Financeiros'!$A$107:$J$119,9,FALSE)+VLOOKUP('Relatório Custo'!$C126,'Indicadores Financeiros'!$A$107:$J$119,10,FALSE)+('Indicadores Financeiros'!$J$87*'Relatório Custo'!$H126)))))</f>
        <v>#N/A</v>
      </c>
      <c r="P126" s="49"/>
      <c r="Q126" s="81"/>
      <c r="R126" s="81"/>
      <c r="S126" s="82"/>
      <c r="T126" s="47"/>
      <c r="U126" s="83"/>
      <c r="V126" s="24"/>
      <c r="W126" s="91"/>
      <c r="X126" s="20"/>
      <c r="Y126" s="114"/>
      <c r="Z126" s="43"/>
      <c r="AA126" s="41"/>
      <c r="AB126" s="25"/>
      <c r="AC126" s="23"/>
      <c r="AD126" s="23"/>
      <c r="AE126" s="154"/>
      <c r="AF126" s="155"/>
      <c r="AG126" s="155"/>
      <c r="AH126" s="31"/>
      <c r="AI126" s="31"/>
      <c r="AJ126" s="31"/>
      <c r="AK126" s="31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</row>
    <row r="127" spans="1:346" s="26" customFormat="1">
      <c r="A127" s="21"/>
      <c r="B127" s="22"/>
      <c r="C127" s="4"/>
      <c r="D127" s="7"/>
      <c r="E127" s="7"/>
      <c r="F127" s="4"/>
      <c r="G127" s="4"/>
      <c r="H127" s="4"/>
      <c r="I127" s="77"/>
      <c r="J127" s="156"/>
      <c r="K127" s="77"/>
      <c r="L127" s="78"/>
      <c r="M127" s="78"/>
      <c r="N127" s="49"/>
      <c r="O127" s="49" t="e">
        <f>IF($E127="posto/hora extra",0,IF(OR(E127="posto/dia",E127="posto/dia líder"),VLOOKUP($C127,'Indicadores Financeiros'!$A$107:$J$119,8,FALSE)+VLOOKUP($C127,'Indicadores Financeiros'!$A$107:$J$119,9,FALSE)+VLOOKUP($C127,'Indicadores Financeiros'!$A$107:$J$119,10,FALSE),IF('Indicadores Financeiros'!$J$91=0,0,(VLOOKUP($C127,'Indicadores Financeiros'!$A$107:$J$119,9,FALSE)+VLOOKUP('Relatório Custo'!$C127,'Indicadores Financeiros'!$A$107:$J$119,10,FALSE)+('Indicadores Financeiros'!$J$87*'Relatório Custo'!$H127)))))</f>
        <v>#N/A</v>
      </c>
      <c r="P127" s="49"/>
      <c r="Q127" s="81"/>
      <c r="R127" s="81"/>
      <c r="S127" s="82"/>
      <c r="T127" s="47"/>
      <c r="U127" s="83"/>
      <c r="V127" s="24"/>
      <c r="W127" s="91"/>
      <c r="X127" s="20"/>
      <c r="Y127" s="114"/>
      <c r="Z127" s="43"/>
      <c r="AA127" s="41"/>
      <c r="AB127" s="25"/>
      <c r="AC127" s="23"/>
      <c r="AD127" s="23"/>
      <c r="AE127" s="154"/>
      <c r="AF127" s="155"/>
      <c r="AG127" s="155"/>
      <c r="AH127" s="31"/>
      <c r="AI127" s="31"/>
      <c r="AJ127" s="31"/>
      <c r="AK127" s="31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</row>
    <row r="128" spans="1:346" s="26" customFormat="1">
      <c r="A128" s="21"/>
      <c r="B128" s="22"/>
      <c r="C128" s="4"/>
      <c r="D128" s="7"/>
      <c r="E128" s="7"/>
      <c r="F128" s="4"/>
      <c r="G128" s="4"/>
      <c r="H128" s="4"/>
      <c r="I128" s="77"/>
      <c r="J128" s="156"/>
      <c r="K128" s="77"/>
      <c r="L128" s="78"/>
      <c r="M128" s="78"/>
      <c r="N128" s="49"/>
      <c r="O128" s="49" t="e">
        <f>IF($E128="posto/hora extra",0,IF(OR(E128="posto/dia",E128="posto/dia líder"),VLOOKUP($C128,'Indicadores Financeiros'!$A$107:$J$119,8,FALSE)+VLOOKUP($C128,'Indicadores Financeiros'!$A$107:$J$119,9,FALSE)+VLOOKUP($C128,'Indicadores Financeiros'!$A$107:$J$119,10,FALSE),IF('Indicadores Financeiros'!$J$91=0,0,(VLOOKUP($C128,'Indicadores Financeiros'!$A$107:$J$119,9,FALSE)+VLOOKUP('Relatório Custo'!$C128,'Indicadores Financeiros'!$A$107:$J$119,10,FALSE)+('Indicadores Financeiros'!$J$87*'Relatório Custo'!$H128)))))</f>
        <v>#N/A</v>
      </c>
      <c r="P128" s="49"/>
      <c r="Q128" s="81"/>
      <c r="R128" s="81"/>
      <c r="S128" s="82"/>
      <c r="T128" s="47"/>
      <c r="U128" s="83"/>
      <c r="V128" s="24"/>
      <c r="W128" s="91"/>
      <c r="X128" s="20"/>
      <c r="Y128" s="114"/>
      <c r="Z128" s="43"/>
      <c r="AA128" s="41"/>
      <c r="AB128" s="25"/>
      <c r="AC128" s="23"/>
      <c r="AD128" s="23"/>
      <c r="AE128" s="154"/>
      <c r="AF128" s="155"/>
      <c r="AG128" s="155"/>
      <c r="AH128" s="31"/>
      <c r="AI128" s="31"/>
      <c r="AJ128" s="31"/>
      <c r="AK128" s="31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</row>
    <row r="129" spans="1:346" s="26" customFormat="1">
      <c r="A129" s="21"/>
      <c r="B129" s="22"/>
      <c r="C129" s="4"/>
      <c r="D129" s="7"/>
      <c r="E129" s="7"/>
      <c r="F129" s="4"/>
      <c r="G129" s="4"/>
      <c r="H129" s="4"/>
      <c r="I129" s="77"/>
      <c r="J129" s="156"/>
      <c r="K129" s="77"/>
      <c r="L129" s="78"/>
      <c r="M129" s="78"/>
      <c r="N129" s="49"/>
      <c r="O129" s="49" t="e">
        <f>IF($E129="posto/hora extra",0,IF(OR(E129="posto/dia",E129="posto/dia líder"),VLOOKUP($C129,'Indicadores Financeiros'!$A$107:$J$119,8,FALSE)+VLOOKUP($C129,'Indicadores Financeiros'!$A$107:$J$119,9,FALSE)+VLOOKUP($C129,'Indicadores Financeiros'!$A$107:$J$119,10,FALSE),IF('Indicadores Financeiros'!$J$91=0,0,(VLOOKUP($C129,'Indicadores Financeiros'!$A$107:$J$119,9,FALSE)+VLOOKUP('Relatório Custo'!$C129,'Indicadores Financeiros'!$A$107:$J$119,10,FALSE)+('Indicadores Financeiros'!$J$87*'Relatório Custo'!$H129)))))</f>
        <v>#N/A</v>
      </c>
      <c r="P129" s="49"/>
      <c r="Q129" s="81"/>
      <c r="R129" s="81"/>
      <c r="S129" s="82"/>
      <c r="T129" s="47"/>
      <c r="U129" s="83"/>
      <c r="V129" s="24"/>
      <c r="W129" s="91"/>
      <c r="X129" s="20"/>
      <c r="Y129" s="114"/>
      <c r="Z129" s="43"/>
      <c r="AA129" s="41"/>
      <c r="AB129" s="25"/>
      <c r="AC129" s="23"/>
      <c r="AD129" s="23"/>
      <c r="AE129" s="154"/>
      <c r="AF129" s="155"/>
      <c r="AG129" s="155"/>
      <c r="AH129" s="31"/>
      <c r="AI129" s="31"/>
      <c r="AJ129" s="31"/>
      <c r="AK129" s="31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</row>
    <row r="130" spans="1:346" s="26" customFormat="1">
      <c r="A130" s="21"/>
      <c r="B130" s="22"/>
      <c r="C130" s="4"/>
      <c r="D130" s="7"/>
      <c r="E130" s="7"/>
      <c r="F130" s="4"/>
      <c r="G130" s="4"/>
      <c r="H130" s="4"/>
      <c r="I130" s="77"/>
      <c r="J130" s="156"/>
      <c r="K130" s="77"/>
      <c r="L130" s="78"/>
      <c r="M130" s="78"/>
      <c r="N130" s="49"/>
      <c r="O130" s="49" t="e">
        <f>IF($E130="posto/hora extra",0,IF(OR(E130="posto/dia",E130="posto/dia líder"),VLOOKUP($C130,'Indicadores Financeiros'!$A$107:$J$119,8,FALSE)+VLOOKUP($C130,'Indicadores Financeiros'!$A$107:$J$119,9,FALSE)+VLOOKUP($C130,'Indicadores Financeiros'!$A$107:$J$119,10,FALSE),IF('Indicadores Financeiros'!$J$91=0,0,(VLOOKUP($C130,'Indicadores Financeiros'!$A$107:$J$119,9,FALSE)+VLOOKUP('Relatório Custo'!$C130,'Indicadores Financeiros'!$A$107:$J$119,10,FALSE)+('Indicadores Financeiros'!$J$87*'Relatório Custo'!$H130)))))</f>
        <v>#N/A</v>
      </c>
      <c r="P130" s="49"/>
      <c r="Q130" s="81"/>
      <c r="R130" s="81"/>
      <c r="S130" s="82"/>
      <c r="T130" s="47"/>
      <c r="U130" s="83"/>
      <c r="V130" s="24"/>
      <c r="W130" s="91"/>
      <c r="X130" s="20"/>
      <c r="Y130" s="114"/>
      <c r="Z130" s="43"/>
      <c r="AA130" s="41"/>
      <c r="AB130" s="25"/>
      <c r="AC130" s="23"/>
      <c r="AD130" s="23"/>
      <c r="AE130" s="154"/>
      <c r="AF130" s="155"/>
      <c r="AG130" s="155"/>
      <c r="AH130" s="31"/>
      <c r="AI130" s="31"/>
      <c r="AJ130" s="31"/>
      <c r="AK130" s="31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</row>
    <row r="131" spans="1:346" s="26" customFormat="1">
      <c r="A131" s="21"/>
      <c r="B131" s="22"/>
      <c r="C131" s="4"/>
      <c r="D131" s="7"/>
      <c r="E131" s="7"/>
      <c r="F131" s="4"/>
      <c r="G131" s="4"/>
      <c r="H131" s="4"/>
      <c r="I131" s="77"/>
      <c r="J131" s="156"/>
      <c r="K131" s="77"/>
      <c r="L131" s="78"/>
      <c r="M131" s="78"/>
      <c r="N131" s="49"/>
      <c r="O131" s="49" t="e">
        <f>IF($E131="posto/hora extra",0,IF(OR(E131="posto/dia",E131="posto/dia líder"),VLOOKUP($C131,'Indicadores Financeiros'!$A$107:$J$119,8,FALSE)+VLOOKUP($C131,'Indicadores Financeiros'!$A$107:$J$119,9,FALSE)+VLOOKUP($C131,'Indicadores Financeiros'!$A$107:$J$119,10,FALSE),IF('Indicadores Financeiros'!$J$91=0,0,(VLOOKUP($C131,'Indicadores Financeiros'!$A$107:$J$119,9,FALSE)+VLOOKUP('Relatório Custo'!$C131,'Indicadores Financeiros'!$A$107:$J$119,10,FALSE)+('Indicadores Financeiros'!$J$87*'Relatório Custo'!$H131)))))</f>
        <v>#N/A</v>
      </c>
      <c r="P131" s="49"/>
      <c r="Q131" s="81"/>
      <c r="R131" s="81"/>
      <c r="S131" s="82"/>
      <c r="T131" s="47"/>
      <c r="U131" s="83"/>
      <c r="V131" s="24"/>
      <c r="W131" s="91"/>
      <c r="X131" s="20"/>
      <c r="Y131" s="114"/>
      <c r="Z131" s="43"/>
      <c r="AA131" s="41"/>
      <c r="AB131" s="25"/>
      <c r="AC131" s="23"/>
      <c r="AD131" s="23"/>
      <c r="AE131" s="154"/>
      <c r="AF131" s="155"/>
      <c r="AG131" s="155"/>
      <c r="AH131" s="31"/>
      <c r="AI131" s="31"/>
      <c r="AJ131" s="31"/>
      <c r="AK131" s="31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</row>
    <row r="132" spans="1:346" s="26" customFormat="1">
      <c r="A132" s="21"/>
      <c r="B132" s="22"/>
      <c r="C132" s="4"/>
      <c r="D132" s="7"/>
      <c r="E132" s="7"/>
      <c r="F132" s="4"/>
      <c r="G132" s="4"/>
      <c r="H132" s="4"/>
      <c r="I132" s="77"/>
      <c r="J132" s="156"/>
      <c r="K132" s="77"/>
      <c r="L132" s="78"/>
      <c r="M132" s="78"/>
      <c r="N132" s="49"/>
      <c r="O132" s="49" t="e">
        <f>IF($E132="posto/hora extra",0,IF(OR(E132="posto/dia",E132="posto/dia líder"),VLOOKUP($C132,'Indicadores Financeiros'!$A$107:$J$119,8,FALSE)+VLOOKUP($C132,'Indicadores Financeiros'!$A$107:$J$119,9,FALSE)+VLOOKUP($C132,'Indicadores Financeiros'!$A$107:$J$119,10,FALSE),IF('Indicadores Financeiros'!$J$91=0,0,(VLOOKUP($C132,'Indicadores Financeiros'!$A$107:$J$119,9,FALSE)+VLOOKUP('Relatório Custo'!$C132,'Indicadores Financeiros'!$A$107:$J$119,10,FALSE)+('Indicadores Financeiros'!$J$87*'Relatório Custo'!$H132)))))</f>
        <v>#N/A</v>
      </c>
      <c r="P132" s="49"/>
      <c r="Q132" s="81"/>
      <c r="R132" s="81"/>
      <c r="S132" s="82"/>
      <c r="T132" s="47"/>
      <c r="U132" s="83"/>
      <c r="V132" s="24"/>
      <c r="W132" s="91"/>
      <c r="X132" s="20"/>
      <c r="Y132" s="114"/>
      <c r="Z132" s="43"/>
      <c r="AA132" s="41"/>
      <c r="AB132" s="25"/>
      <c r="AC132" s="23"/>
      <c r="AD132" s="23"/>
      <c r="AE132" s="154"/>
      <c r="AF132" s="155"/>
      <c r="AG132" s="155"/>
      <c r="AH132" s="31"/>
      <c r="AI132" s="31"/>
      <c r="AJ132" s="31"/>
      <c r="AK132" s="31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</row>
    <row r="133" spans="1:346" s="26" customFormat="1">
      <c r="A133" s="21"/>
      <c r="B133" s="22"/>
      <c r="C133" s="4"/>
      <c r="D133" s="7"/>
      <c r="E133" s="7"/>
      <c r="F133" s="4"/>
      <c r="G133" s="4"/>
      <c r="H133" s="4"/>
      <c r="I133" s="77"/>
      <c r="J133" s="156"/>
      <c r="K133" s="77"/>
      <c r="L133" s="78"/>
      <c r="M133" s="78"/>
      <c r="N133" s="49"/>
      <c r="O133" s="49" t="e">
        <f>IF($E133="posto/hora extra",0,IF(OR(E133="posto/dia",E133="posto/dia líder"),VLOOKUP($C133,'Indicadores Financeiros'!$A$107:$J$119,8,FALSE)+VLOOKUP($C133,'Indicadores Financeiros'!$A$107:$J$119,9,FALSE)+VLOOKUP($C133,'Indicadores Financeiros'!$A$107:$J$119,10,FALSE),IF('Indicadores Financeiros'!$J$91=0,0,(VLOOKUP($C133,'Indicadores Financeiros'!$A$107:$J$119,9,FALSE)+VLOOKUP('Relatório Custo'!$C133,'Indicadores Financeiros'!$A$107:$J$119,10,FALSE)+('Indicadores Financeiros'!$J$87*'Relatório Custo'!$H133)))))</f>
        <v>#N/A</v>
      </c>
      <c r="P133" s="49"/>
      <c r="Q133" s="81"/>
      <c r="R133" s="81"/>
      <c r="S133" s="82"/>
      <c r="T133" s="47"/>
      <c r="U133" s="83"/>
      <c r="V133" s="24"/>
      <c r="W133" s="91"/>
      <c r="X133" s="20"/>
      <c r="Y133" s="114"/>
      <c r="Z133" s="43"/>
      <c r="AA133" s="41"/>
      <c r="AB133" s="25"/>
      <c r="AC133" s="23"/>
      <c r="AD133" s="23"/>
      <c r="AE133" s="154"/>
      <c r="AF133" s="155"/>
      <c r="AG133" s="155"/>
      <c r="AH133" s="31"/>
      <c r="AI133" s="31"/>
      <c r="AJ133" s="31"/>
      <c r="AK133" s="31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</row>
    <row r="134" spans="1:346" s="26" customFormat="1">
      <c r="A134" s="21"/>
      <c r="B134" s="22"/>
      <c r="C134" s="4"/>
      <c r="D134" s="7"/>
      <c r="E134" s="7"/>
      <c r="F134" s="4"/>
      <c r="G134" s="4"/>
      <c r="H134" s="4"/>
      <c r="I134" s="77"/>
      <c r="J134" s="156"/>
      <c r="K134" s="77"/>
      <c r="L134" s="78"/>
      <c r="M134" s="78"/>
      <c r="N134" s="49"/>
      <c r="O134" s="49" t="e">
        <f>IF($E134="posto/hora extra",0,IF(OR(E134="posto/dia",E134="posto/dia líder"),VLOOKUP($C134,'Indicadores Financeiros'!$A$107:$J$119,8,FALSE)+VLOOKUP($C134,'Indicadores Financeiros'!$A$107:$J$119,9,FALSE)+VLOOKUP($C134,'Indicadores Financeiros'!$A$107:$J$119,10,FALSE),IF('Indicadores Financeiros'!$J$91=0,0,(VLOOKUP($C134,'Indicadores Financeiros'!$A$107:$J$119,9,FALSE)+VLOOKUP('Relatório Custo'!$C134,'Indicadores Financeiros'!$A$107:$J$119,10,FALSE)+('Indicadores Financeiros'!$J$87*'Relatório Custo'!$H134)))))</f>
        <v>#N/A</v>
      </c>
      <c r="P134" s="49"/>
      <c r="Q134" s="81"/>
      <c r="R134" s="81"/>
      <c r="S134" s="82"/>
      <c r="T134" s="47"/>
      <c r="U134" s="83"/>
      <c r="V134" s="24"/>
      <c r="W134" s="91"/>
      <c r="X134" s="20"/>
      <c r="Y134" s="114"/>
      <c r="Z134" s="43"/>
      <c r="AA134" s="41"/>
      <c r="AB134" s="25"/>
      <c r="AC134" s="23"/>
      <c r="AD134" s="23"/>
      <c r="AE134" s="154"/>
      <c r="AF134" s="155"/>
      <c r="AG134" s="155"/>
      <c r="AH134" s="31"/>
      <c r="AI134" s="31"/>
      <c r="AJ134" s="31"/>
      <c r="AK134" s="31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</row>
    <row r="135" spans="1:346" s="26" customFormat="1">
      <c r="A135" s="21"/>
      <c r="B135" s="22"/>
      <c r="C135" s="4"/>
      <c r="D135" s="7"/>
      <c r="E135" s="7"/>
      <c r="F135" s="4"/>
      <c r="G135" s="4"/>
      <c r="H135" s="4"/>
      <c r="I135" s="77"/>
      <c r="J135" s="156"/>
      <c r="K135" s="77"/>
      <c r="L135" s="78"/>
      <c r="M135" s="78"/>
      <c r="N135" s="49"/>
      <c r="O135" s="49" t="e">
        <f>IF($E135="posto/hora extra",0,IF(OR(E135="posto/dia",E135="posto/dia líder"),VLOOKUP($C135,'Indicadores Financeiros'!$A$107:$J$119,8,FALSE)+VLOOKUP($C135,'Indicadores Financeiros'!$A$107:$J$119,9,FALSE)+VLOOKUP($C135,'Indicadores Financeiros'!$A$107:$J$119,10,FALSE),IF('Indicadores Financeiros'!$J$91=0,0,(VLOOKUP($C135,'Indicadores Financeiros'!$A$107:$J$119,9,FALSE)+VLOOKUP('Relatório Custo'!$C135,'Indicadores Financeiros'!$A$107:$J$119,10,FALSE)+('Indicadores Financeiros'!$J$87*'Relatório Custo'!$H135)))))</f>
        <v>#N/A</v>
      </c>
      <c r="P135" s="49"/>
      <c r="Q135" s="81"/>
      <c r="R135" s="81"/>
      <c r="S135" s="82"/>
      <c r="T135" s="47"/>
      <c r="U135" s="83"/>
      <c r="V135" s="24"/>
      <c r="W135" s="91"/>
      <c r="X135" s="20"/>
      <c r="Y135" s="114"/>
      <c r="Z135" s="43"/>
      <c r="AA135" s="41"/>
      <c r="AB135" s="25"/>
      <c r="AC135" s="23"/>
      <c r="AD135" s="23"/>
      <c r="AE135" s="154"/>
      <c r="AF135" s="155"/>
      <c r="AG135" s="155"/>
      <c r="AH135" s="31"/>
      <c r="AI135" s="31"/>
      <c r="AJ135" s="31"/>
      <c r="AK135" s="31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  <c r="LT135" s="25"/>
      <c r="LU135" s="25"/>
      <c r="LV135" s="25"/>
      <c r="LW135" s="25"/>
      <c r="LX135" s="25"/>
      <c r="LY135" s="25"/>
      <c r="LZ135" s="25"/>
      <c r="MA135" s="25"/>
      <c r="MB135" s="25"/>
      <c r="MC135" s="25"/>
      <c r="MD135" s="25"/>
      <c r="ME135" s="25"/>
      <c r="MF135" s="25"/>
      <c r="MG135" s="25"/>
      <c r="MH135" s="25"/>
    </row>
    <row r="136" spans="1:346" s="26" customFormat="1">
      <c r="A136" s="21"/>
      <c r="B136" s="22"/>
      <c r="C136" s="4"/>
      <c r="D136" s="7"/>
      <c r="E136" s="7"/>
      <c r="F136" s="4"/>
      <c r="G136" s="4"/>
      <c r="H136" s="4"/>
      <c r="I136" s="77"/>
      <c r="J136" s="156"/>
      <c r="K136" s="77"/>
      <c r="L136" s="78"/>
      <c r="M136" s="78"/>
      <c r="N136" s="49"/>
      <c r="O136" s="49" t="e">
        <f>IF($E136="posto/hora extra",0,IF(OR(E136="posto/dia",E136="posto/dia líder"),VLOOKUP($C136,'Indicadores Financeiros'!$A$107:$J$119,8,FALSE)+VLOOKUP($C136,'Indicadores Financeiros'!$A$107:$J$119,9,FALSE)+VLOOKUP($C136,'Indicadores Financeiros'!$A$107:$J$119,10,FALSE),IF('Indicadores Financeiros'!$J$91=0,0,(VLOOKUP($C136,'Indicadores Financeiros'!$A$107:$J$119,9,FALSE)+VLOOKUP('Relatório Custo'!$C136,'Indicadores Financeiros'!$A$107:$J$119,10,FALSE)+('Indicadores Financeiros'!$J$87*'Relatório Custo'!$H136)))))</f>
        <v>#N/A</v>
      </c>
      <c r="P136" s="49"/>
      <c r="Q136" s="81"/>
      <c r="R136" s="81"/>
      <c r="S136" s="82"/>
      <c r="T136" s="47"/>
      <c r="U136" s="83"/>
      <c r="V136" s="24"/>
      <c r="W136" s="91"/>
      <c r="X136" s="20"/>
      <c r="Y136" s="114"/>
      <c r="Z136" s="43"/>
      <c r="AA136" s="41"/>
      <c r="AB136" s="25"/>
      <c r="AC136" s="23"/>
      <c r="AD136" s="23"/>
      <c r="AE136" s="154"/>
      <c r="AF136" s="155"/>
      <c r="AG136" s="155"/>
      <c r="AH136" s="31"/>
      <c r="AI136" s="31"/>
      <c r="AJ136" s="31"/>
      <c r="AK136" s="31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</row>
    <row r="137" spans="1:346" s="26" customFormat="1">
      <c r="A137" s="21"/>
      <c r="B137" s="22"/>
      <c r="C137" s="4"/>
      <c r="D137" s="7"/>
      <c r="E137" s="7"/>
      <c r="F137" s="4"/>
      <c r="G137" s="4"/>
      <c r="H137" s="4"/>
      <c r="I137" s="77"/>
      <c r="J137" s="156"/>
      <c r="K137" s="77"/>
      <c r="L137" s="78"/>
      <c r="M137" s="78"/>
      <c r="N137" s="49"/>
      <c r="O137" s="49" t="e">
        <f>IF($E137="posto/hora extra",0,IF(OR(E137="posto/dia",E137="posto/dia líder"),VLOOKUP($C137,'Indicadores Financeiros'!$A$107:$J$119,8,FALSE)+VLOOKUP($C137,'Indicadores Financeiros'!$A$107:$J$119,9,FALSE)+VLOOKUP($C137,'Indicadores Financeiros'!$A$107:$J$119,10,FALSE),IF('Indicadores Financeiros'!$J$91=0,0,(VLOOKUP($C137,'Indicadores Financeiros'!$A$107:$J$119,9,FALSE)+VLOOKUP('Relatório Custo'!$C137,'Indicadores Financeiros'!$A$107:$J$119,10,FALSE)+('Indicadores Financeiros'!$J$87*'Relatório Custo'!$H137)))))</f>
        <v>#N/A</v>
      </c>
      <c r="P137" s="49"/>
      <c r="Q137" s="81"/>
      <c r="R137" s="81"/>
      <c r="S137" s="82"/>
      <c r="T137" s="47"/>
      <c r="U137" s="83"/>
      <c r="V137" s="24"/>
      <c r="W137" s="91"/>
      <c r="X137" s="20"/>
      <c r="Y137" s="114"/>
      <c r="Z137" s="43"/>
      <c r="AA137" s="41"/>
      <c r="AB137" s="25"/>
      <c r="AC137" s="23"/>
      <c r="AD137" s="23"/>
      <c r="AE137" s="154"/>
      <c r="AF137" s="155"/>
      <c r="AG137" s="155"/>
      <c r="AH137" s="31"/>
      <c r="AI137" s="31"/>
      <c r="AJ137" s="31"/>
      <c r="AK137" s="31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</row>
    <row r="138" spans="1:346" s="26" customFormat="1">
      <c r="A138" s="21"/>
      <c r="B138" s="22"/>
      <c r="C138" s="4"/>
      <c r="D138" s="7"/>
      <c r="E138" s="7"/>
      <c r="F138" s="4"/>
      <c r="G138" s="4"/>
      <c r="H138" s="4"/>
      <c r="I138" s="77"/>
      <c r="J138" s="156"/>
      <c r="K138" s="77"/>
      <c r="L138" s="78"/>
      <c r="M138" s="78"/>
      <c r="N138" s="49"/>
      <c r="O138" s="49" t="e">
        <f>IF($E138="posto/hora extra",0,IF(OR(E138="posto/dia",E138="posto/dia líder"),VLOOKUP($C138,'Indicadores Financeiros'!$A$107:$J$119,8,FALSE)+VLOOKUP($C138,'Indicadores Financeiros'!$A$107:$J$119,9,FALSE)+VLOOKUP($C138,'Indicadores Financeiros'!$A$107:$J$119,10,FALSE),IF('Indicadores Financeiros'!$J$91=0,0,(VLOOKUP($C138,'Indicadores Financeiros'!$A$107:$J$119,9,FALSE)+VLOOKUP('Relatório Custo'!$C138,'Indicadores Financeiros'!$A$107:$J$119,10,FALSE)+('Indicadores Financeiros'!$J$87*'Relatório Custo'!$H138)))))</f>
        <v>#N/A</v>
      </c>
      <c r="P138" s="49"/>
      <c r="Q138" s="81"/>
      <c r="R138" s="81"/>
      <c r="S138" s="82"/>
      <c r="T138" s="47"/>
      <c r="U138" s="83"/>
      <c r="V138" s="24"/>
      <c r="W138" s="91"/>
      <c r="X138" s="20"/>
      <c r="Y138" s="114"/>
      <c r="Z138" s="43"/>
      <c r="AA138" s="41"/>
      <c r="AB138" s="25"/>
      <c r="AC138" s="23"/>
      <c r="AD138" s="23"/>
      <c r="AE138" s="154"/>
      <c r="AF138" s="155"/>
      <c r="AG138" s="155"/>
      <c r="AH138" s="31"/>
      <c r="AI138" s="31"/>
      <c r="AJ138" s="31"/>
      <c r="AK138" s="31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</row>
    <row r="139" spans="1:346" s="26" customFormat="1">
      <c r="A139" s="21"/>
      <c r="B139" s="22"/>
      <c r="C139" s="4"/>
      <c r="D139" s="7"/>
      <c r="E139" s="7"/>
      <c r="F139" s="4"/>
      <c r="G139" s="4"/>
      <c r="H139" s="4"/>
      <c r="I139" s="77"/>
      <c r="J139" s="156"/>
      <c r="K139" s="77"/>
      <c r="L139" s="78"/>
      <c r="M139" s="78"/>
      <c r="N139" s="49"/>
      <c r="O139" s="49" t="e">
        <f>IF($E139="posto/hora extra",0,IF(OR(E139="posto/dia",E139="posto/dia líder"),VLOOKUP($C139,'Indicadores Financeiros'!$A$107:$J$119,8,FALSE)+VLOOKUP($C139,'Indicadores Financeiros'!$A$107:$J$119,9,FALSE)+VLOOKUP($C139,'Indicadores Financeiros'!$A$107:$J$119,10,FALSE),IF('Indicadores Financeiros'!$J$91=0,0,(VLOOKUP($C139,'Indicadores Financeiros'!$A$107:$J$119,9,FALSE)+VLOOKUP('Relatório Custo'!$C139,'Indicadores Financeiros'!$A$107:$J$119,10,FALSE)+('Indicadores Financeiros'!$J$87*'Relatório Custo'!$H139)))))</f>
        <v>#N/A</v>
      </c>
      <c r="P139" s="49"/>
      <c r="Q139" s="81"/>
      <c r="R139" s="81"/>
      <c r="S139" s="82"/>
      <c r="T139" s="47"/>
      <c r="U139" s="83"/>
      <c r="V139" s="24"/>
      <c r="W139" s="91"/>
      <c r="X139" s="20"/>
      <c r="Y139" s="114"/>
      <c r="Z139" s="43"/>
      <c r="AA139" s="41"/>
      <c r="AB139" s="25"/>
      <c r="AC139" s="23"/>
      <c r="AD139" s="23"/>
      <c r="AE139" s="154"/>
      <c r="AF139" s="155"/>
      <c r="AG139" s="155"/>
      <c r="AH139" s="31"/>
      <c r="AI139" s="31"/>
      <c r="AJ139" s="31"/>
      <c r="AK139" s="31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</row>
    <row r="140" spans="1:346" s="26" customFormat="1">
      <c r="A140" s="21"/>
      <c r="B140" s="22"/>
      <c r="C140" s="4"/>
      <c r="D140" s="7"/>
      <c r="E140" s="7"/>
      <c r="F140" s="4"/>
      <c r="G140" s="4"/>
      <c r="H140" s="4"/>
      <c r="I140" s="77"/>
      <c r="J140" s="156"/>
      <c r="K140" s="77"/>
      <c r="L140" s="78"/>
      <c r="M140" s="78"/>
      <c r="N140" s="49"/>
      <c r="O140" s="49" t="e">
        <f>IF($E140="posto/hora extra",0,IF(OR(E140="posto/dia",E140="posto/dia líder"),VLOOKUP($C140,'Indicadores Financeiros'!$A$107:$J$119,8,FALSE)+VLOOKUP($C140,'Indicadores Financeiros'!$A$107:$J$119,9,FALSE)+VLOOKUP($C140,'Indicadores Financeiros'!$A$107:$J$119,10,FALSE),IF('Indicadores Financeiros'!$J$91=0,0,(VLOOKUP($C140,'Indicadores Financeiros'!$A$107:$J$119,9,FALSE)+VLOOKUP('Relatório Custo'!$C140,'Indicadores Financeiros'!$A$107:$J$119,10,FALSE)+('Indicadores Financeiros'!$J$87*'Relatório Custo'!$H140)))))</f>
        <v>#N/A</v>
      </c>
      <c r="P140" s="49"/>
      <c r="Q140" s="81"/>
      <c r="R140" s="81"/>
      <c r="S140" s="82"/>
      <c r="T140" s="47"/>
      <c r="U140" s="83"/>
      <c r="V140" s="24"/>
      <c r="W140" s="91"/>
      <c r="X140" s="20"/>
      <c r="Y140" s="114"/>
      <c r="Z140" s="43"/>
      <c r="AA140" s="41"/>
      <c r="AB140" s="25"/>
      <c r="AC140" s="23"/>
      <c r="AD140" s="23"/>
      <c r="AE140" s="154"/>
      <c r="AF140" s="155"/>
      <c r="AG140" s="155"/>
      <c r="AH140" s="31"/>
      <c r="AI140" s="31"/>
      <c r="AJ140" s="31"/>
      <c r="AK140" s="31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</row>
    <row r="141" spans="1:346" s="26" customFormat="1">
      <c r="A141" s="21"/>
      <c r="B141" s="22"/>
      <c r="C141" s="4"/>
      <c r="D141" s="7"/>
      <c r="E141" s="7"/>
      <c r="F141" s="4"/>
      <c r="G141" s="4"/>
      <c r="H141" s="4"/>
      <c r="I141" s="77"/>
      <c r="J141" s="156"/>
      <c r="K141" s="77"/>
      <c r="L141" s="78"/>
      <c r="M141" s="78"/>
      <c r="N141" s="49"/>
      <c r="O141" s="49" t="e">
        <f>IF($E141="posto/hora extra",0,IF(OR(E141="posto/dia",E141="posto/dia líder"),VLOOKUP($C141,'Indicadores Financeiros'!$A$107:$J$119,8,FALSE)+VLOOKUP($C141,'Indicadores Financeiros'!$A$107:$J$119,9,FALSE)+VLOOKUP($C141,'Indicadores Financeiros'!$A$107:$J$119,10,FALSE),IF('Indicadores Financeiros'!$J$91=0,0,(VLOOKUP($C141,'Indicadores Financeiros'!$A$107:$J$119,9,FALSE)+VLOOKUP('Relatório Custo'!$C141,'Indicadores Financeiros'!$A$107:$J$119,10,FALSE)+('Indicadores Financeiros'!$J$87*'Relatório Custo'!$H141)))))</f>
        <v>#N/A</v>
      </c>
      <c r="P141" s="49"/>
      <c r="Q141" s="81"/>
      <c r="R141" s="81"/>
      <c r="S141" s="82"/>
      <c r="T141" s="47"/>
      <c r="U141" s="83"/>
      <c r="V141" s="24"/>
      <c r="W141" s="91"/>
      <c r="X141" s="20"/>
      <c r="Y141" s="114"/>
      <c r="Z141" s="43"/>
      <c r="AA141" s="41"/>
      <c r="AB141" s="25"/>
      <c r="AC141" s="23"/>
      <c r="AD141" s="23"/>
      <c r="AE141" s="154"/>
      <c r="AF141" s="155"/>
      <c r="AG141" s="155"/>
      <c r="AH141" s="31"/>
      <c r="AI141" s="31"/>
      <c r="AJ141" s="31"/>
      <c r="AK141" s="31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</row>
    <row r="142" spans="1:346" s="26" customFormat="1">
      <c r="A142" s="21"/>
      <c r="B142" s="22"/>
      <c r="C142" s="4"/>
      <c r="D142" s="7"/>
      <c r="E142" s="7"/>
      <c r="F142" s="4"/>
      <c r="G142" s="4"/>
      <c r="H142" s="4"/>
      <c r="I142" s="77"/>
      <c r="J142" s="156"/>
      <c r="K142" s="77"/>
      <c r="L142" s="78"/>
      <c r="M142" s="78"/>
      <c r="N142" s="49"/>
      <c r="O142" s="49" t="e">
        <f>IF($E142="posto/hora extra",0,IF(OR(E142="posto/dia",E142="posto/dia líder"),VLOOKUP($C142,'Indicadores Financeiros'!$A$107:$J$119,8,FALSE)+VLOOKUP($C142,'Indicadores Financeiros'!$A$107:$J$119,9,FALSE)+VLOOKUP($C142,'Indicadores Financeiros'!$A$107:$J$119,10,FALSE),IF('Indicadores Financeiros'!$J$91=0,0,(VLOOKUP($C142,'Indicadores Financeiros'!$A$107:$J$119,9,FALSE)+VLOOKUP('Relatório Custo'!$C142,'Indicadores Financeiros'!$A$107:$J$119,10,FALSE)+('Indicadores Financeiros'!$J$87*'Relatório Custo'!$H142)))))</f>
        <v>#N/A</v>
      </c>
      <c r="P142" s="49"/>
      <c r="Q142" s="81"/>
      <c r="R142" s="81"/>
      <c r="S142" s="82"/>
      <c r="T142" s="47"/>
      <c r="U142" s="83"/>
      <c r="V142" s="24"/>
      <c r="W142" s="91"/>
      <c r="X142" s="20"/>
      <c r="Y142" s="114"/>
      <c r="Z142" s="43"/>
      <c r="AA142" s="41"/>
      <c r="AB142" s="25"/>
      <c r="AC142" s="23"/>
      <c r="AD142" s="23"/>
      <c r="AE142" s="154"/>
      <c r="AF142" s="155"/>
      <c r="AG142" s="155"/>
      <c r="AH142" s="31"/>
      <c r="AI142" s="31"/>
      <c r="AJ142" s="31"/>
      <c r="AK142" s="31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</row>
    <row r="143" spans="1:346" s="26" customFormat="1">
      <c r="A143" s="21"/>
      <c r="B143" s="22"/>
      <c r="C143" s="4"/>
      <c r="D143" s="7"/>
      <c r="E143" s="7"/>
      <c r="F143" s="4"/>
      <c r="G143" s="4"/>
      <c r="H143" s="4"/>
      <c r="I143" s="77"/>
      <c r="J143" s="156"/>
      <c r="K143" s="77"/>
      <c r="L143" s="78"/>
      <c r="M143" s="78"/>
      <c r="N143" s="49"/>
      <c r="O143" s="49" t="e">
        <f>IF($E143="posto/hora extra",0,IF(OR(E143="posto/dia",E143="posto/dia líder"),VLOOKUP($C143,'Indicadores Financeiros'!$A$107:$J$119,8,FALSE)+VLOOKUP($C143,'Indicadores Financeiros'!$A$107:$J$119,9,FALSE)+VLOOKUP($C143,'Indicadores Financeiros'!$A$107:$J$119,10,FALSE),IF('Indicadores Financeiros'!$J$91=0,0,(VLOOKUP($C143,'Indicadores Financeiros'!$A$107:$J$119,9,FALSE)+VLOOKUP('Relatório Custo'!$C143,'Indicadores Financeiros'!$A$107:$J$119,10,FALSE)+('Indicadores Financeiros'!$J$87*'Relatório Custo'!$H143)))))</f>
        <v>#N/A</v>
      </c>
      <c r="P143" s="49"/>
      <c r="Q143" s="81"/>
      <c r="R143" s="81"/>
      <c r="S143" s="82"/>
      <c r="T143" s="47"/>
      <c r="U143" s="83"/>
      <c r="V143" s="24"/>
      <c r="W143" s="91"/>
      <c r="X143" s="20"/>
      <c r="Y143" s="114"/>
      <c r="Z143" s="43"/>
      <c r="AA143" s="41"/>
      <c r="AB143" s="25"/>
      <c r="AC143" s="23"/>
      <c r="AD143" s="23"/>
      <c r="AE143" s="154"/>
      <c r="AF143" s="155"/>
      <c r="AG143" s="155"/>
      <c r="AH143" s="31"/>
      <c r="AI143" s="31"/>
      <c r="AJ143" s="31"/>
      <c r="AK143" s="31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</row>
    <row r="144" spans="1:346" s="26" customFormat="1">
      <c r="A144" s="21"/>
      <c r="B144" s="22"/>
      <c r="C144" s="4"/>
      <c r="D144" s="7"/>
      <c r="E144" s="7"/>
      <c r="F144" s="4"/>
      <c r="G144" s="4"/>
      <c r="H144" s="4"/>
      <c r="I144" s="77"/>
      <c r="J144" s="156"/>
      <c r="K144" s="77"/>
      <c r="L144" s="78"/>
      <c r="M144" s="78"/>
      <c r="N144" s="49"/>
      <c r="O144" s="49" t="e">
        <f>IF($E144="posto/hora extra",0,IF(OR(E144="posto/dia",E144="posto/dia líder"),VLOOKUP($C144,'Indicadores Financeiros'!$A$107:$J$119,8,FALSE)+VLOOKUP($C144,'Indicadores Financeiros'!$A$107:$J$119,9,FALSE)+VLOOKUP($C144,'Indicadores Financeiros'!$A$107:$J$119,10,FALSE),IF('Indicadores Financeiros'!$J$91=0,0,(VLOOKUP($C144,'Indicadores Financeiros'!$A$107:$J$119,9,FALSE)+VLOOKUP('Relatório Custo'!$C144,'Indicadores Financeiros'!$A$107:$J$119,10,FALSE)+('Indicadores Financeiros'!$J$87*'Relatório Custo'!$H144)))))</f>
        <v>#N/A</v>
      </c>
      <c r="P144" s="49"/>
      <c r="Q144" s="81"/>
      <c r="R144" s="81"/>
      <c r="S144" s="82"/>
      <c r="T144" s="47"/>
      <c r="U144" s="83"/>
      <c r="V144" s="24"/>
      <c r="W144" s="91"/>
      <c r="X144" s="20"/>
      <c r="Y144" s="114"/>
      <c r="Z144" s="43"/>
      <c r="AA144" s="41"/>
      <c r="AB144" s="25"/>
      <c r="AC144" s="23"/>
      <c r="AD144" s="23"/>
      <c r="AE144" s="154"/>
      <c r="AF144" s="155"/>
      <c r="AG144" s="155"/>
      <c r="AH144" s="31"/>
      <c r="AI144" s="31"/>
      <c r="AJ144" s="31"/>
      <c r="AK144" s="31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</row>
    <row r="145" spans="1:346" s="26" customFormat="1">
      <c r="A145" s="21"/>
      <c r="B145" s="22"/>
      <c r="C145" s="4"/>
      <c r="D145" s="7"/>
      <c r="E145" s="7"/>
      <c r="F145" s="4"/>
      <c r="G145" s="4"/>
      <c r="H145" s="4"/>
      <c r="I145" s="77"/>
      <c r="J145" s="156"/>
      <c r="K145" s="77"/>
      <c r="L145" s="78"/>
      <c r="M145" s="78"/>
      <c r="N145" s="49"/>
      <c r="O145" s="49" t="e">
        <f>IF($E145="posto/hora extra",0,IF(OR(E145="posto/dia",E145="posto/dia líder"),VLOOKUP($C145,'Indicadores Financeiros'!$A$107:$J$119,8,FALSE)+VLOOKUP($C145,'Indicadores Financeiros'!$A$107:$J$119,9,FALSE)+VLOOKUP($C145,'Indicadores Financeiros'!$A$107:$J$119,10,FALSE),IF('Indicadores Financeiros'!$J$91=0,0,(VLOOKUP($C145,'Indicadores Financeiros'!$A$107:$J$119,9,FALSE)+VLOOKUP('Relatório Custo'!$C145,'Indicadores Financeiros'!$A$107:$J$119,10,FALSE)+('Indicadores Financeiros'!$J$87*'Relatório Custo'!$H145)))))</f>
        <v>#N/A</v>
      </c>
      <c r="P145" s="49"/>
      <c r="Q145" s="81"/>
      <c r="R145" s="81"/>
      <c r="S145" s="82"/>
      <c r="T145" s="47"/>
      <c r="U145" s="83"/>
      <c r="V145" s="24"/>
      <c r="W145" s="91"/>
      <c r="X145" s="20"/>
      <c r="Y145" s="114"/>
      <c r="Z145" s="43"/>
      <c r="AA145" s="41"/>
      <c r="AB145" s="25"/>
      <c r="AC145" s="23"/>
      <c r="AD145" s="23"/>
      <c r="AE145" s="154"/>
      <c r="AF145" s="155"/>
      <c r="AG145" s="155"/>
      <c r="AH145" s="31"/>
      <c r="AI145" s="31"/>
      <c r="AJ145" s="31"/>
      <c r="AK145" s="31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</row>
    <row r="146" spans="1:346" s="26" customFormat="1">
      <c r="A146" s="21"/>
      <c r="B146" s="22"/>
      <c r="C146" s="4"/>
      <c r="D146" s="7"/>
      <c r="E146" s="7"/>
      <c r="F146" s="4"/>
      <c r="G146" s="4"/>
      <c r="H146" s="4"/>
      <c r="I146" s="77"/>
      <c r="J146" s="156"/>
      <c r="K146" s="77"/>
      <c r="L146" s="78"/>
      <c r="M146" s="78"/>
      <c r="N146" s="49"/>
      <c r="O146" s="49" t="e">
        <f>IF($E146="posto/hora extra",0,IF(OR(E146="posto/dia",E146="posto/dia líder"),VLOOKUP($C146,'Indicadores Financeiros'!$A$107:$J$119,8,FALSE)+VLOOKUP($C146,'Indicadores Financeiros'!$A$107:$J$119,9,FALSE)+VLOOKUP($C146,'Indicadores Financeiros'!$A$107:$J$119,10,FALSE),IF('Indicadores Financeiros'!$J$91=0,0,(VLOOKUP($C146,'Indicadores Financeiros'!$A$107:$J$119,9,FALSE)+VLOOKUP('Relatório Custo'!$C146,'Indicadores Financeiros'!$A$107:$J$119,10,FALSE)+('Indicadores Financeiros'!$J$87*'Relatório Custo'!$H146)))))</f>
        <v>#N/A</v>
      </c>
      <c r="P146" s="49"/>
      <c r="Q146" s="81"/>
      <c r="R146" s="81"/>
      <c r="S146" s="82"/>
      <c r="T146" s="47"/>
      <c r="U146" s="83"/>
      <c r="V146" s="24"/>
      <c r="W146" s="91"/>
      <c r="X146" s="20"/>
      <c r="Y146" s="114"/>
      <c r="Z146" s="43"/>
      <c r="AA146" s="41"/>
      <c r="AB146" s="25"/>
      <c r="AC146" s="23"/>
      <c r="AD146" s="23"/>
      <c r="AE146" s="154"/>
      <c r="AF146" s="155"/>
      <c r="AG146" s="155"/>
      <c r="AH146" s="31"/>
      <c r="AI146" s="31"/>
      <c r="AJ146" s="31"/>
      <c r="AK146" s="31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</row>
    <row r="147" spans="1:346" s="26" customFormat="1">
      <c r="A147" s="21"/>
      <c r="B147" s="22"/>
      <c r="C147" s="4"/>
      <c r="D147" s="7"/>
      <c r="E147" s="7"/>
      <c r="F147" s="4"/>
      <c r="G147" s="4"/>
      <c r="H147" s="4"/>
      <c r="I147" s="77"/>
      <c r="J147" s="156"/>
      <c r="K147" s="77"/>
      <c r="L147" s="78"/>
      <c r="M147" s="78"/>
      <c r="N147" s="49"/>
      <c r="O147" s="49" t="e">
        <f>IF($E147="posto/hora extra",0,IF(OR(E147="posto/dia",E147="posto/dia líder"),VLOOKUP($C147,'Indicadores Financeiros'!$A$107:$J$119,8,FALSE)+VLOOKUP($C147,'Indicadores Financeiros'!$A$107:$J$119,9,FALSE)+VLOOKUP($C147,'Indicadores Financeiros'!$A$107:$J$119,10,FALSE),IF('Indicadores Financeiros'!$J$91=0,0,(VLOOKUP($C147,'Indicadores Financeiros'!$A$107:$J$119,9,FALSE)+VLOOKUP('Relatório Custo'!$C147,'Indicadores Financeiros'!$A$107:$J$119,10,FALSE)+('Indicadores Financeiros'!$J$87*'Relatório Custo'!$H147)))))</f>
        <v>#N/A</v>
      </c>
      <c r="P147" s="49"/>
      <c r="Q147" s="81"/>
      <c r="R147" s="81"/>
      <c r="S147" s="82"/>
      <c r="T147" s="47"/>
      <c r="U147" s="83"/>
      <c r="V147" s="24"/>
      <c r="W147" s="91"/>
      <c r="X147" s="20"/>
      <c r="Y147" s="114"/>
      <c r="Z147" s="43"/>
      <c r="AA147" s="41"/>
      <c r="AB147" s="25"/>
      <c r="AC147" s="23"/>
      <c r="AD147" s="23"/>
      <c r="AE147" s="154"/>
      <c r="AF147" s="155"/>
      <c r="AG147" s="155"/>
      <c r="AH147" s="31"/>
      <c r="AI147" s="31"/>
      <c r="AJ147" s="31"/>
      <c r="AK147" s="31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</row>
    <row r="148" spans="1:346" s="26" customFormat="1">
      <c r="A148" s="21"/>
      <c r="B148" s="22"/>
      <c r="C148" s="4"/>
      <c r="D148" s="7"/>
      <c r="E148" s="7"/>
      <c r="F148" s="4"/>
      <c r="G148" s="4"/>
      <c r="H148" s="4"/>
      <c r="I148" s="77"/>
      <c r="J148" s="156"/>
      <c r="K148" s="77"/>
      <c r="L148" s="78"/>
      <c r="M148" s="78"/>
      <c r="N148" s="49"/>
      <c r="O148" s="49" t="e">
        <f>IF($E148="posto/hora extra",0,IF(OR(E148="posto/dia",E148="posto/dia líder"),VLOOKUP($C148,'Indicadores Financeiros'!$A$107:$J$119,8,FALSE)+VLOOKUP($C148,'Indicadores Financeiros'!$A$107:$J$119,9,FALSE)+VLOOKUP($C148,'Indicadores Financeiros'!$A$107:$J$119,10,FALSE),IF('Indicadores Financeiros'!$J$91=0,0,(VLOOKUP($C148,'Indicadores Financeiros'!$A$107:$J$119,9,FALSE)+VLOOKUP('Relatório Custo'!$C148,'Indicadores Financeiros'!$A$107:$J$119,10,FALSE)+('Indicadores Financeiros'!$J$87*'Relatório Custo'!$H148)))))</f>
        <v>#N/A</v>
      </c>
      <c r="P148" s="49"/>
      <c r="Q148" s="81"/>
      <c r="R148" s="81"/>
      <c r="S148" s="82"/>
      <c r="T148" s="47"/>
      <c r="U148" s="83"/>
      <c r="V148" s="24"/>
      <c r="W148" s="91"/>
      <c r="X148" s="20"/>
      <c r="Y148" s="114"/>
      <c r="Z148" s="43"/>
      <c r="AA148" s="41"/>
      <c r="AB148" s="25"/>
      <c r="AC148" s="23"/>
      <c r="AD148" s="23"/>
      <c r="AE148" s="154"/>
      <c r="AF148" s="155"/>
      <c r="AG148" s="155"/>
      <c r="AH148" s="31"/>
      <c r="AI148" s="31"/>
      <c r="AJ148" s="31"/>
      <c r="AK148" s="31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</row>
    <row r="149" spans="1:346" s="26" customFormat="1">
      <c r="A149" s="21"/>
      <c r="B149" s="22"/>
      <c r="C149" s="4"/>
      <c r="D149" s="7"/>
      <c r="E149" s="7"/>
      <c r="F149" s="4"/>
      <c r="G149" s="4"/>
      <c r="H149" s="4"/>
      <c r="I149" s="77"/>
      <c r="J149" s="156"/>
      <c r="K149" s="77"/>
      <c r="L149" s="78"/>
      <c r="M149" s="78"/>
      <c r="N149" s="49"/>
      <c r="O149" s="49" t="e">
        <f>IF($E149="posto/hora extra",0,IF(OR(E149="posto/dia",E149="posto/dia líder"),VLOOKUP($C149,'Indicadores Financeiros'!$A$107:$J$119,8,FALSE)+VLOOKUP($C149,'Indicadores Financeiros'!$A$107:$J$119,9,FALSE)+VLOOKUP($C149,'Indicadores Financeiros'!$A$107:$J$119,10,FALSE),IF('Indicadores Financeiros'!$J$91=0,0,(VLOOKUP($C149,'Indicadores Financeiros'!$A$107:$J$119,9,FALSE)+VLOOKUP('Relatório Custo'!$C149,'Indicadores Financeiros'!$A$107:$J$119,10,FALSE)+('Indicadores Financeiros'!$J$87*'Relatório Custo'!$H149)))))</f>
        <v>#N/A</v>
      </c>
      <c r="P149" s="49"/>
      <c r="Q149" s="81"/>
      <c r="R149" s="81"/>
      <c r="S149" s="82"/>
      <c r="T149" s="47"/>
      <c r="U149" s="83"/>
      <c r="V149" s="24"/>
      <c r="W149" s="91"/>
      <c r="X149" s="20"/>
      <c r="Y149" s="114"/>
      <c r="Z149" s="43"/>
      <c r="AA149" s="41"/>
      <c r="AB149" s="25"/>
      <c r="AC149" s="23"/>
      <c r="AD149" s="23"/>
      <c r="AE149" s="154"/>
      <c r="AF149" s="155"/>
      <c r="AG149" s="155"/>
      <c r="AH149" s="31"/>
      <c r="AI149" s="31"/>
      <c r="AJ149" s="31"/>
      <c r="AK149" s="31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</row>
    <row r="150" spans="1:346" s="26" customFormat="1">
      <c r="A150" s="21"/>
      <c r="B150" s="22"/>
      <c r="C150" s="4"/>
      <c r="D150" s="7"/>
      <c r="E150" s="7"/>
      <c r="F150" s="4"/>
      <c r="G150" s="4"/>
      <c r="H150" s="4"/>
      <c r="I150" s="77"/>
      <c r="J150" s="156"/>
      <c r="K150" s="77"/>
      <c r="L150" s="78"/>
      <c r="M150" s="78"/>
      <c r="N150" s="49"/>
      <c r="O150" s="49" t="e">
        <f>IF($E150="posto/hora extra",0,IF(OR(E150="posto/dia",E150="posto/dia líder"),VLOOKUP($C150,'Indicadores Financeiros'!$A$107:$J$119,8,FALSE)+VLOOKUP($C150,'Indicadores Financeiros'!$A$107:$J$119,9,FALSE)+VLOOKUP($C150,'Indicadores Financeiros'!$A$107:$J$119,10,FALSE),IF('Indicadores Financeiros'!$J$91=0,0,(VLOOKUP($C150,'Indicadores Financeiros'!$A$107:$J$119,9,FALSE)+VLOOKUP('Relatório Custo'!$C150,'Indicadores Financeiros'!$A$107:$J$119,10,FALSE)+('Indicadores Financeiros'!$J$87*'Relatório Custo'!$H150)))))</f>
        <v>#N/A</v>
      </c>
      <c r="P150" s="49"/>
      <c r="Q150" s="81"/>
      <c r="R150" s="81"/>
      <c r="S150" s="82"/>
      <c r="T150" s="47"/>
      <c r="U150" s="83"/>
      <c r="V150" s="24"/>
      <c r="W150" s="91"/>
      <c r="X150" s="20"/>
      <c r="Y150" s="114"/>
      <c r="Z150" s="43"/>
      <c r="AA150" s="41"/>
      <c r="AB150" s="25"/>
      <c r="AC150" s="23"/>
      <c r="AD150" s="23"/>
      <c r="AE150" s="154"/>
      <c r="AF150" s="155"/>
      <c r="AG150" s="155"/>
      <c r="AH150" s="31"/>
      <c r="AI150" s="31"/>
      <c r="AJ150" s="31"/>
      <c r="AK150" s="31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</row>
    <row r="151" spans="1:346" s="26" customFormat="1">
      <c r="A151" s="21"/>
      <c r="B151" s="22"/>
      <c r="C151" s="4"/>
      <c r="D151" s="7"/>
      <c r="E151" s="7"/>
      <c r="F151" s="4"/>
      <c r="G151" s="4"/>
      <c r="H151" s="4"/>
      <c r="I151" s="77"/>
      <c r="J151" s="156"/>
      <c r="K151" s="77"/>
      <c r="L151" s="78"/>
      <c r="M151" s="78"/>
      <c r="N151" s="49"/>
      <c r="O151" s="49" t="e">
        <f>IF($E151="posto/hora extra",0,IF(OR(E151="posto/dia",E151="posto/dia líder"),VLOOKUP($C151,'Indicadores Financeiros'!$A$107:$J$119,8,FALSE)+VLOOKUP($C151,'Indicadores Financeiros'!$A$107:$J$119,9,FALSE)+VLOOKUP($C151,'Indicadores Financeiros'!$A$107:$J$119,10,FALSE),IF('Indicadores Financeiros'!$J$91=0,0,(VLOOKUP($C151,'Indicadores Financeiros'!$A$107:$J$119,9,FALSE)+VLOOKUP('Relatório Custo'!$C151,'Indicadores Financeiros'!$A$107:$J$119,10,FALSE)+('Indicadores Financeiros'!$J$87*'Relatório Custo'!$H151)))))</f>
        <v>#N/A</v>
      </c>
      <c r="P151" s="49"/>
      <c r="Q151" s="81"/>
      <c r="R151" s="81"/>
      <c r="S151" s="82"/>
      <c r="T151" s="47"/>
      <c r="U151" s="83"/>
      <c r="V151" s="24"/>
      <c r="W151" s="91"/>
      <c r="X151" s="20"/>
      <c r="Y151" s="114"/>
      <c r="Z151" s="43"/>
      <c r="AA151" s="41"/>
      <c r="AB151" s="25"/>
      <c r="AC151" s="23"/>
      <c r="AD151" s="23"/>
      <c r="AE151" s="154"/>
      <c r="AF151" s="155"/>
      <c r="AG151" s="155"/>
      <c r="AH151" s="31"/>
      <c r="AI151" s="31"/>
      <c r="AJ151" s="31"/>
      <c r="AK151" s="31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</row>
    <row r="152" spans="1:346" s="26" customFormat="1">
      <c r="A152" s="21"/>
      <c r="B152" s="22"/>
      <c r="C152" s="4"/>
      <c r="D152" s="7"/>
      <c r="E152" s="7"/>
      <c r="F152" s="4"/>
      <c r="G152" s="4"/>
      <c r="H152" s="4"/>
      <c r="I152" s="77"/>
      <c r="J152" s="156"/>
      <c r="K152" s="77"/>
      <c r="L152" s="78"/>
      <c r="M152" s="78"/>
      <c r="N152" s="49"/>
      <c r="O152" s="49" t="e">
        <f>IF($E152="posto/hora extra",0,IF(OR(E152="posto/dia",E152="posto/dia líder"),VLOOKUP($C152,'Indicadores Financeiros'!$A$107:$J$119,8,FALSE)+VLOOKUP($C152,'Indicadores Financeiros'!$A$107:$J$119,9,FALSE)+VLOOKUP($C152,'Indicadores Financeiros'!$A$107:$J$119,10,FALSE),IF('Indicadores Financeiros'!$J$91=0,0,(VLOOKUP($C152,'Indicadores Financeiros'!$A$107:$J$119,9,FALSE)+VLOOKUP('Relatório Custo'!$C152,'Indicadores Financeiros'!$A$107:$J$119,10,FALSE)+('Indicadores Financeiros'!$J$87*'Relatório Custo'!$H152)))))</f>
        <v>#N/A</v>
      </c>
      <c r="P152" s="49"/>
      <c r="Q152" s="81"/>
      <c r="R152" s="81"/>
      <c r="S152" s="82"/>
      <c r="T152" s="47"/>
      <c r="U152" s="83"/>
      <c r="V152" s="24"/>
      <c r="W152" s="91"/>
      <c r="X152" s="20"/>
      <c r="Y152" s="114"/>
      <c r="Z152" s="43"/>
      <c r="AA152" s="41"/>
      <c r="AB152" s="25"/>
      <c r="AC152" s="23"/>
      <c r="AD152" s="23"/>
      <c r="AE152" s="154"/>
      <c r="AF152" s="155"/>
      <c r="AG152" s="155"/>
      <c r="AH152" s="31"/>
      <c r="AI152" s="31"/>
      <c r="AJ152" s="31"/>
      <c r="AK152" s="31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</row>
    <row r="153" spans="1:346" s="26" customFormat="1">
      <c r="A153" s="21"/>
      <c r="B153" s="22"/>
      <c r="C153" s="4"/>
      <c r="D153" s="7"/>
      <c r="E153" s="7"/>
      <c r="F153" s="4"/>
      <c r="G153" s="4"/>
      <c r="H153" s="4"/>
      <c r="I153" s="77"/>
      <c r="J153" s="156"/>
      <c r="K153" s="77"/>
      <c r="L153" s="78"/>
      <c r="M153" s="78"/>
      <c r="N153" s="49"/>
      <c r="O153" s="49" t="e">
        <f>IF($E153="posto/hora extra",0,IF(OR(E153="posto/dia",E153="posto/dia líder"),VLOOKUP($C153,'Indicadores Financeiros'!$A$107:$J$119,8,FALSE)+VLOOKUP($C153,'Indicadores Financeiros'!$A$107:$J$119,9,FALSE)+VLOOKUP($C153,'Indicadores Financeiros'!$A$107:$J$119,10,FALSE),IF('Indicadores Financeiros'!$J$91=0,0,(VLOOKUP($C153,'Indicadores Financeiros'!$A$107:$J$119,9,FALSE)+VLOOKUP('Relatório Custo'!$C153,'Indicadores Financeiros'!$A$107:$J$119,10,FALSE)+('Indicadores Financeiros'!$J$87*'Relatório Custo'!$H153)))))</f>
        <v>#N/A</v>
      </c>
      <c r="P153" s="49"/>
      <c r="Q153" s="81"/>
      <c r="R153" s="81"/>
      <c r="S153" s="82"/>
      <c r="T153" s="47"/>
      <c r="U153" s="83"/>
      <c r="V153" s="24"/>
      <c r="W153" s="91"/>
      <c r="X153" s="20"/>
      <c r="Y153" s="114"/>
      <c r="Z153" s="43"/>
      <c r="AA153" s="41"/>
      <c r="AB153" s="25"/>
      <c r="AC153" s="23"/>
      <c r="AD153" s="23"/>
      <c r="AE153" s="154"/>
      <c r="AF153" s="155"/>
      <c r="AG153" s="155"/>
      <c r="AH153" s="31"/>
      <c r="AI153" s="31"/>
      <c r="AJ153" s="31"/>
      <c r="AK153" s="31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</row>
    <row r="154" spans="1:346" s="26" customFormat="1">
      <c r="A154" s="21"/>
      <c r="B154" s="22"/>
      <c r="C154" s="4"/>
      <c r="D154" s="7"/>
      <c r="E154" s="7"/>
      <c r="F154" s="4"/>
      <c r="G154" s="4"/>
      <c r="H154" s="4"/>
      <c r="I154" s="77"/>
      <c r="J154" s="156"/>
      <c r="K154" s="77"/>
      <c r="L154" s="78"/>
      <c r="M154" s="78"/>
      <c r="N154" s="49"/>
      <c r="O154" s="49" t="e">
        <f>IF($E154="posto/hora extra",0,IF(OR(E154="posto/dia",E154="posto/dia líder"),VLOOKUP($C154,'Indicadores Financeiros'!$A$107:$J$119,8,FALSE)+VLOOKUP($C154,'Indicadores Financeiros'!$A$107:$J$119,9,FALSE)+VLOOKUP($C154,'Indicadores Financeiros'!$A$107:$J$119,10,FALSE),IF('Indicadores Financeiros'!$J$91=0,0,(VLOOKUP($C154,'Indicadores Financeiros'!$A$107:$J$119,9,FALSE)+VLOOKUP('Relatório Custo'!$C154,'Indicadores Financeiros'!$A$107:$J$119,10,FALSE)+('Indicadores Financeiros'!$J$87*'Relatório Custo'!$H154)))))</f>
        <v>#N/A</v>
      </c>
      <c r="P154" s="49"/>
      <c r="Q154" s="81"/>
      <c r="R154" s="81"/>
      <c r="S154" s="82"/>
      <c r="T154" s="47"/>
      <c r="U154" s="83"/>
      <c r="V154" s="24"/>
      <c r="W154" s="91"/>
      <c r="X154" s="20"/>
      <c r="Y154" s="114"/>
      <c r="Z154" s="43"/>
      <c r="AA154" s="41"/>
      <c r="AB154" s="25"/>
      <c r="AC154" s="23"/>
      <c r="AD154" s="23"/>
      <c r="AE154" s="154"/>
      <c r="AF154" s="155"/>
      <c r="AG154" s="155"/>
      <c r="AH154" s="31"/>
      <c r="AI154" s="31"/>
      <c r="AJ154" s="31"/>
      <c r="AK154" s="31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</row>
    <row r="155" spans="1:346" s="26" customFormat="1">
      <c r="A155" s="21"/>
      <c r="B155" s="22"/>
      <c r="C155" s="4"/>
      <c r="D155" s="7"/>
      <c r="E155" s="7"/>
      <c r="F155" s="4"/>
      <c r="G155" s="4"/>
      <c r="H155" s="4"/>
      <c r="I155" s="77"/>
      <c r="J155" s="156"/>
      <c r="K155" s="77"/>
      <c r="L155" s="78"/>
      <c r="M155" s="78"/>
      <c r="N155" s="49"/>
      <c r="O155" s="49" t="e">
        <f>IF($E155="posto/hora extra",0,IF(OR(E155="posto/dia",E155="posto/dia líder"),VLOOKUP($C155,'Indicadores Financeiros'!$A$107:$J$119,8,FALSE)+VLOOKUP($C155,'Indicadores Financeiros'!$A$107:$J$119,9,FALSE)+VLOOKUP($C155,'Indicadores Financeiros'!$A$107:$J$119,10,FALSE),IF('Indicadores Financeiros'!$J$91=0,0,(VLOOKUP($C155,'Indicadores Financeiros'!$A$107:$J$119,9,FALSE)+VLOOKUP('Relatório Custo'!$C155,'Indicadores Financeiros'!$A$107:$J$119,10,FALSE)+('Indicadores Financeiros'!$J$87*'Relatório Custo'!$H155)))))</f>
        <v>#N/A</v>
      </c>
      <c r="P155" s="49"/>
      <c r="Q155" s="81"/>
      <c r="R155" s="81"/>
      <c r="S155" s="82"/>
      <c r="T155" s="47"/>
      <c r="U155" s="83"/>
      <c r="V155" s="24"/>
      <c r="W155" s="91"/>
      <c r="X155" s="20"/>
      <c r="Y155" s="114"/>
      <c r="Z155" s="43"/>
      <c r="AA155" s="41"/>
      <c r="AB155" s="25"/>
      <c r="AC155" s="23"/>
      <c r="AD155" s="23"/>
      <c r="AE155" s="154"/>
      <c r="AF155" s="155"/>
      <c r="AG155" s="155"/>
      <c r="AH155" s="31"/>
      <c r="AI155" s="31"/>
      <c r="AJ155" s="31"/>
      <c r="AK155" s="31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</row>
    <row r="156" spans="1:346" s="26" customFormat="1">
      <c r="A156" s="21"/>
      <c r="B156" s="22"/>
      <c r="C156" s="4"/>
      <c r="D156" s="7"/>
      <c r="E156" s="7"/>
      <c r="F156" s="4"/>
      <c r="G156" s="4"/>
      <c r="H156" s="4"/>
      <c r="I156" s="77"/>
      <c r="J156" s="156"/>
      <c r="K156" s="77"/>
      <c r="L156" s="78"/>
      <c r="M156" s="78"/>
      <c r="N156" s="49"/>
      <c r="O156" s="49" t="e">
        <f>IF($E156="posto/hora extra",0,IF(OR(E156="posto/dia",E156="posto/dia líder"),VLOOKUP($C156,'Indicadores Financeiros'!$A$107:$J$119,8,FALSE)+VLOOKUP($C156,'Indicadores Financeiros'!$A$107:$J$119,9,FALSE)+VLOOKUP($C156,'Indicadores Financeiros'!$A$107:$J$119,10,FALSE),IF('Indicadores Financeiros'!$J$91=0,0,(VLOOKUP($C156,'Indicadores Financeiros'!$A$107:$J$119,9,FALSE)+VLOOKUP('Relatório Custo'!$C156,'Indicadores Financeiros'!$A$107:$J$119,10,FALSE)+('Indicadores Financeiros'!$J$87*'Relatório Custo'!$H156)))))</f>
        <v>#N/A</v>
      </c>
      <c r="P156" s="49"/>
      <c r="Q156" s="81"/>
      <c r="R156" s="81"/>
      <c r="S156" s="82"/>
      <c r="T156" s="47"/>
      <c r="U156" s="83"/>
      <c r="V156" s="24"/>
      <c r="W156" s="91"/>
      <c r="X156" s="20"/>
      <c r="Y156" s="114"/>
      <c r="Z156" s="43"/>
      <c r="AA156" s="41"/>
      <c r="AB156" s="25"/>
      <c r="AC156" s="23"/>
      <c r="AD156" s="23"/>
      <c r="AE156" s="154"/>
      <c r="AF156" s="155"/>
      <c r="AG156" s="155"/>
      <c r="AH156" s="31"/>
      <c r="AI156" s="31"/>
      <c r="AJ156" s="31"/>
      <c r="AK156" s="31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</row>
    <row r="157" spans="1:346" s="26" customFormat="1">
      <c r="A157" s="21"/>
      <c r="B157" s="22"/>
      <c r="C157" s="4"/>
      <c r="D157" s="7"/>
      <c r="E157" s="7"/>
      <c r="F157" s="4"/>
      <c r="G157" s="4"/>
      <c r="H157" s="4"/>
      <c r="I157" s="77"/>
      <c r="J157" s="156"/>
      <c r="K157" s="77"/>
      <c r="L157" s="78"/>
      <c r="M157" s="78"/>
      <c r="N157" s="49"/>
      <c r="O157" s="49" t="e">
        <f>IF($E157="posto/hora extra",0,IF(OR(E157="posto/dia",E157="posto/dia líder"),VLOOKUP($C157,'Indicadores Financeiros'!$A$107:$J$119,8,FALSE)+VLOOKUP($C157,'Indicadores Financeiros'!$A$107:$J$119,9,FALSE)+VLOOKUP($C157,'Indicadores Financeiros'!$A$107:$J$119,10,FALSE),IF('Indicadores Financeiros'!$J$91=0,0,(VLOOKUP($C157,'Indicadores Financeiros'!$A$107:$J$119,9,FALSE)+VLOOKUP('Relatório Custo'!$C157,'Indicadores Financeiros'!$A$107:$J$119,10,FALSE)+('Indicadores Financeiros'!$J$87*'Relatório Custo'!$H157)))))</f>
        <v>#N/A</v>
      </c>
      <c r="P157" s="49"/>
      <c r="Q157" s="81"/>
      <c r="R157" s="81"/>
      <c r="S157" s="82"/>
      <c r="T157" s="47"/>
      <c r="U157" s="83"/>
      <c r="V157" s="24"/>
      <c r="W157" s="91"/>
      <c r="X157" s="20"/>
      <c r="Y157" s="114"/>
      <c r="Z157" s="43"/>
      <c r="AA157" s="41"/>
      <c r="AB157" s="25"/>
      <c r="AC157" s="23"/>
      <c r="AD157" s="23"/>
      <c r="AE157" s="154"/>
      <c r="AF157" s="155"/>
      <c r="AG157" s="155"/>
      <c r="AH157" s="31"/>
      <c r="AI157" s="31"/>
      <c r="AJ157" s="31"/>
      <c r="AK157" s="31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</row>
    <row r="158" spans="1:346" s="26" customFormat="1">
      <c r="A158" s="21"/>
      <c r="B158" s="22"/>
      <c r="C158" s="4"/>
      <c r="D158" s="7"/>
      <c r="E158" s="7"/>
      <c r="F158" s="4"/>
      <c r="G158" s="4"/>
      <c r="H158" s="4"/>
      <c r="I158" s="77"/>
      <c r="J158" s="156"/>
      <c r="K158" s="77"/>
      <c r="L158" s="78"/>
      <c r="M158" s="78"/>
      <c r="N158" s="49"/>
      <c r="O158" s="49" t="e">
        <f>IF($E158="posto/hora extra",0,IF(OR(E158="posto/dia",E158="posto/dia líder"),VLOOKUP($C158,'Indicadores Financeiros'!$A$107:$J$119,8,FALSE)+VLOOKUP($C158,'Indicadores Financeiros'!$A$107:$J$119,9,FALSE)+VLOOKUP($C158,'Indicadores Financeiros'!$A$107:$J$119,10,FALSE),IF('Indicadores Financeiros'!$J$91=0,0,(VLOOKUP($C158,'Indicadores Financeiros'!$A$107:$J$119,9,FALSE)+VLOOKUP('Relatório Custo'!$C158,'Indicadores Financeiros'!$A$107:$J$119,10,FALSE)+('Indicadores Financeiros'!$J$87*'Relatório Custo'!$H158)))))</f>
        <v>#N/A</v>
      </c>
      <c r="P158" s="49"/>
      <c r="Q158" s="81"/>
      <c r="R158" s="81"/>
      <c r="S158" s="82"/>
      <c r="T158" s="47"/>
      <c r="U158" s="83"/>
      <c r="V158" s="24"/>
      <c r="W158" s="91"/>
      <c r="X158" s="20"/>
      <c r="Y158" s="114"/>
      <c r="Z158" s="43"/>
      <c r="AA158" s="41"/>
      <c r="AB158" s="25"/>
      <c r="AC158" s="23"/>
      <c r="AD158" s="23"/>
      <c r="AE158" s="154"/>
      <c r="AF158" s="155"/>
      <c r="AG158" s="155"/>
      <c r="AH158" s="31"/>
      <c r="AI158" s="31"/>
      <c r="AJ158" s="31"/>
      <c r="AK158" s="31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</row>
    <row r="159" spans="1:346" s="26" customFormat="1">
      <c r="A159" s="21"/>
      <c r="B159" s="22"/>
      <c r="C159" s="4"/>
      <c r="D159" s="7"/>
      <c r="E159" s="7"/>
      <c r="F159" s="4"/>
      <c r="G159" s="4"/>
      <c r="H159" s="4"/>
      <c r="I159" s="77"/>
      <c r="J159" s="156"/>
      <c r="K159" s="77"/>
      <c r="L159" s="78"/>
      <c r="M159" s="78"/>
      <c r="N159" s="49"/>
      <c r="O159" s="49" t="e">
        <f>IF($E159="posto/hora extra",0,IF(OR(E159="posto/dia",E159="posto/dia líder"),VLOOKUP($C159,'Indicadores Financeiros'!$A$107:$J$119,8,FALSE)+VLOOKUP($C159,'Indicadores Financeiros'!$A$107:$J$119,9,FALSE)+VLOOKUP($C159,'Indicadores Financeiros'!$A$107:$J$119,10,FALSE),IF('Indicadores Financeiros'!$J$91=0,0,(VLOOKUP($C159,'Indicadores Financeiros'!$A$107:$J$119,9,FALSE)+VLOOKUP('Relatório Custo'!$C159,'Indicadores Financeiros'!$A$107:$J$119,10,FALSE)+('Indicadores Financeiros'!$J$87*'Relatório Custo'!$H159)))))</f>
        <v>#N/A</v>
      </c>
      <c r="P159" s="49"/>
      <c r="Q159" s="81"/>
      <c r="R159" s="81"/>
      <c r="S159" s="82"/>
      <c r="T159" s="47"/>
      <c r="U159" s="83"/>
      <c r="V159" s="24"/>
      <c r="W159" s="91"/>
      <c r="X159" s="20"/>
      <c r="Y159" s="114"/>
      <c r="Z159" s="43"/>
      <c r="AA159" s="41"/>
      <c r="AB159" s="25"/>
      <c r="AC159" s="23"/>
      <c r="AD159" s="23"/>
      <c r="AE159" s="154"/>
      <c r="AF159" s="155"/>
      <c r="AG159" s="155"/>
      <c r="AH159" s="31"/>
      <c r="AI159" s="31"/>
      <c r="AJ159" s="31"/>
      <c r="AK159" s="31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</row>
    <row r="160" spans="1:346" s="26" customFormat="1">
      <c r="A160" s="21"/>
      <c r="B160" s="22"/>
      <c r="C160" s="4"/>
      <c r="D160" s="7"/>
      <c r="E160" s="7"/>
      <c r="F160" s="4"/>
      <c r="G160" s="4"/>
      <c r="H160" s="4"/>
      <c r="I160" s="77"/>
      <c r="J160" s="156"/>
      <c r="K160" s="77"/>
      <c r="L160" s="78"/>
      <c r="M160" s="78"/>
      <c r="N160" s="49"/>
      <c r="O160" s="49" t="e">
        <f>IF($E160="posto/hora extra",0,IF(OR(E160="posto/dia",E160="posto/dia líder"),VLOOKUP($C160,'Indicadores Financeiros'!$A$107:$J$119,8,FALSE)+VLOOKUP($C160,'Indicadores Financeiros'!$A$107:$J$119,9,FALSE)+VLOOKUP($C160,'Indicadores Financeiros'!$A$107:$J$119,10,FALSE),IF('Indicadores Financeiros'!$J$91=0,0,(VLOOKUP($C160,'Indicadores Financeiros'!$A$107:$J$119,9,FALSE)+VLOOKUP('Relatório Custo'!$C160,'Indicadores Financeiros'!$A$107:$J$119,10,FALSE)+('Indicadores Financeiros'!$J$87*'Relatório Custo'!$H160)))))</f>
        <v>#N/A</v>
      </c>
      <c r="P160" s="49"/>
      <c r="Q160" s="81"/>
      <c r="R160" s="81"/>
      <c r="S160" s="82"/>
      <c r="T160" s="47"/>
      <c r="U160" s="83"/>
      <c r="V160" s="24"/>
      <c r="W160" s="91"/>
      <c r="X160" s="20"/>
      <c r="Y160" s="114"/>
      <c r="Z160" s="43"/>
      <c r="AA160" s="41"/>
      <c r="AB160" s="25"/>
      <c r="AC160" s="23"/>
      <c r="AD160" s="23"/>
      <c r="AE160" s="154"/>
      <c r="AF160" s="155"/>
      <c r="AG160" s="155"/>
      <c r="AH160" s="31"/>
      <c r="AI160" s="31"/>
      <c r="AJ160" s="31"/>
      <c r="AK160" s="31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</row>
    <row r="161" spans="1:346" s="26" customFormat="1">
      <c r="A161" s="21"/>
      <c r="B161" s="22"/>
      <c r="C161" s="4"/>
      <c r="D161" s="7"/>
      <c r="E161" s="7"/>
      <c r="F161" s="4"/>
      <c r="G161" s="4"/>
      <c r="H161" s="4"/>
      <c r="I161" s="77"/>
      <c r="J161" s="156"/>
      <c r="K161" s="77"/>
      <c r="L161" s="78"/>
      <c r="M161" s="78"/>
      <c r="N161" s="49"/>
      <c r="O161" s="49" t="e">
        <f>IF($E161="posto/hora extra",0,IF(OR(E161="posto/dia",E161="posto/dia líder"),VLOOKUP($C161,'Indicadores Financeiros'!$A$107:$J$119,8,FALSE)+VLOOKUP($C161,'Indicadores Financeiros'!$A$107:$J$119,9,FALSE)+VLOOKUP($C161,'Indicadores Financeiros'!$A$107:$J$119,10,FALSE),IF('Indicadores Financeiros'!$J$91=0,0,(VLOOKUP($C161,'Indicadores Financeiros'!$A$107:$J$119,9,FALSE)+VLOOKUP('Relatório Custo'!$C161,'Indicadores Financeiros'!$A$107:$J$119,10,FALSE)+('Indicadores Financeiros'!$J$87*'Relatório Custo'!$H161)))))</f>
        <v>#N/A</v>
      </c>
      <c r="P161" s="49"/>
      <c r="Q161" s="81"/>
      <c r="R161" s="81"/>
      <c r="S161" s="82"/>
      <c r="T161" s="47"/>
      <c r="U161" s="83"/>
      <c r="V161" s="24"/>
      <c r="W161" s="91"/>
      <c r="X161" s="20"/>
      <c r="Y161" s="114"/>
      <c r="Z161" s="43"/>
      <c r="AA161" s="41"/>
      <c r="AB161" s="25"/>
      <c r="AC161" s="23"/>
      <c r="AD161" s="23"/>
      <c r="AE161" s="154"/>
      <c r="AF161" s="155"/>
      <c r="AG161" s="155"/>
      <c r="AH161" s="31"/>
      <c r="AI161" s="31"/>
      <c r="AJ161" s="31"/>
      <c r="AK161" s="31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</row>
    <row r="162" spans="1:346" s="26" customFormat="1">
      <c r="A162" s="21"/>
      <c r="B162" s="22"/>
      <c r="C162" s="4"/>
      <c r="D162" s="7"/>
      <c r="E162" s="7"/>
      <c r="F162" s="4"/>
      <c r="G162" s="4"/>
      <c r="H162" s="4"/>
      <c r="I162" s="77"/>
      <c r="J162" s="156"/>
      <c r="K162" s="77"/>
      <c r="L162" s="78"/>
      <c r="M162" s="78"/>
      <c r="N162" s="49"/>
      <c r="O162" s="49" t="e">
        <f>IF($E162="posto/hora extra",0,IF(OR(E162="posto/dia",E162="posto/dia líder"),VLOOKUP($C162,'Indicadores Financeiros'!$A$107:$J$119,8,FALSE)+VLOOKUP($C162,'Indicadores Financeiros'!$A$107:$J$119,9,FALSE)+VLOOKUP($C162,'Indicadores Financeiros'!$A$107:$J$119,10,FALSE),IF('Indicadores Financeiros'!$J$91=0,0,(VLOOKUP($C162,'Indicadores Financeiros'!$A$107:$J$119,9,FALSE)+VLOOKUP('Relatório Custo'!$C162,'Indicadores Financeiros'!$A$107:$J$119,10,FALSE)+('Indicadores Financeiros'!$J$87*'Relatório Custo'!$H162)))))</f>
        <v>#N/A</v>
      </c>
      <c r="P162" s="49"/>
      <c r="Q162" s="81"/>
      <c r="R162" s="81"/>
      <c r="S162" s="82"/>
      <c r="T162" s="47"/>
      <c r="U162" s="83"/>
      <c r="V162" s="24"/>
      <c r="W162" s="91"/>
      <c r="X162" s="20"/>
      <c r="Y162" s="114"/>
      <c r="Z162" s="43"/>
      <c r="AA162" s="41"/>
      <c r="AB162" s="25"/>
      <c r="AC162" s="23"/>
      <c r="AD162" s="23"/>
      <c r="AE162" s="154"/>
      <c r="AF162" s="155"/>
      <c r="AG162" s="155"/>
      <c r="AH162" s="31"/>
      <c r="AI162" s="31"/>
      <c r="AJ162" s="31"/>
      <c r="AK162" s="31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</row>
    <row r="163" spans="1:346" s="26" customFormat="1">
      <c r="A163" s="21"/>
      <c r="B163" s="22"/>
      <c r="C163" s="4"/>
      <c r="D163" s="7"/>
      <c r="E163" s="7"/>
      <c r="F163" s="4"/>
      <c r="G163" s="4"/>
      <c r="H163" s="4"/>
      <c r="I163" s="77"/>
      <c r="J163" s="156"/>
      <c r="K163" s="77"/>
      <c r="L163" s="78"/>
      <c r="M163" s="78"/>
      <c r="N163" s="49"/>
      <c r="O163" s="49" t="e">
        <f>IF($E163="posto/hora extra",0,IF(OR(E163="posto/dia",E163="posto/dia líder"),VLOOKUP($C163,'Indicadores Financeiros'!$A$107:$J$119,8,FALSE)+VLOOKUP($C163,'Indicadores Financeiros'!$A$107:$J$119,9,FALSE)+VLOOKUP($C163,'Indicadores Financeiros'!$A$107:$J$119,10,FALSE),IF('Indicadores Financeiros'!$J$91=0,0,(VLOOKUP($C163,'Indicadores Financeiros'!$A$107:$J$119,9,FALSE)+VLOOKUP('Relatório Custo'!$C163,'Indicadores Financeiros'!$A$107:$J$119,10,FALSE)+('Indicadores Financeiros'!$J$87*'Relatório Custo'!$H163)))))</f>
        <v>#N/A</v>
      </c>
      <c r="P163" s="49"/>
      <c r="Q163" s="81"/>
      <c r="R163" s="81"/>
      <c r="S163" s="82"/>
      <c r="T163" s="47"/>
      <c r="U163" s="83"/>
      <c r="V163" s="24"/>
      <c r="W163" s="91"/>
      <c r="X163" s="20"/>
      <c r="Y163" s="114"/>
      <c r="Z163" s="43"/>
      <c r="AA163" s="41"/>
      <c r="AB163" s="25"/>
      <c r="AC163" s="23"/>
      <c r="AD163" s="23"/>
      <c r="AE163" s="154"/>
      <c r="AF163" s="155"/>
      <c r="AG163" s="155"/>
      <c r="AH163" s="31"/>
      <c r="AI163" s="31"/>
      <c r="AJ163" s="31"/>
      <c r="AK163" s="31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</row>
    <row r="164" spans="1:346" s="26" customFormat="1">
      <c r="A164" s="21"/>
      <c r="B164" s="22"/>
      <c r="C164" s="4"/>
      <c r="D164" s="7"/>
      <c r="E164" s="7"/>
      <c r="F164" s="4"/>
      <c r="G164" s="4"/>
      <c r="H164" s="4"/>
      <c r="I164" s="77"/>
      <c r="J164" s="156"/>
      <c r="K164" s="77"/>
      <c r="L164" s="78"/>
      <c r="M164" s="78"/>
      <c r="N164" s="49"/>
      <c r="O164" s="49" t="e">
        <f>IF($E164="posto/hora extra",0,IF(OR(E164="posto/dia",E164="posto/dia líder"),VLOOKUP($C164,'Indicadores Financeiros'!$A$107:$J$119,8,FALSE)+VLOOKUP($C164,'Indicadores Financeiros'!$A$107:$J$119,9,FALSE)+VLOOKUP($C164,'Indicadores Financeiros'!$A$107:$J$119,10,FALSE),IF('Indicadores Financeiros'!$J$91=0,0,(VLOOKUP($C164,'Indicadores Financeiros'!$A$107:$J$119,9,FALSE)+VLOOKUP('Relatório Custo'!$C164,'Indicadores Financeiros'!$A$107:$J$119,10,FALSE)+('Indicadores Financeiros'!$J$87*'Relatório Custo'!$H164)))))</f>
        <v>#N/A</v>
      </c>
      <c r="P164" s="49"/>
      <c r="Q164" s="81"/>
      <c r="R164" s="81"/>
      <c r="S164" s="82"/>
      <c r="T164" s="47"/>
      <c r="U164" s="83"/>
      <c r="V164" s="24"/>
      <c r="W164" s="91"/>
      <c r="X164" s="20"/>
      <c r="Y164" s="114"/>
      <c r="Z164" s="43"/>
      <c r="AA164" s="41"/>
      <c r="AB164" s="25"/>
      <c r="AC164" s="23"/>
      <c r="AD164" s="23"/>
      <c r="AE164" s="154"/>
      <c r="AF164" s="155"/>
      <c r="AG164" s="155"/>
      <c r="AH164" s="31"/>
      <c r="AI164" s="31"/>
      <c r="AJ164" s="31"/>
      <c r="AK164" s="31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</row>
    <row r="165" spans="1:346" s="26" customFormat="1">
      <c r="A165" s="21"/>
      <c r="B165" s="22"/>
      <c r="C165" s="4"/>
      <c r="D165" s="7"/>
      <c r="E165" s="7"/>
      <c r="F165" s="4"/>
      <c r="G165" s="4"/>
      <c r="H165" s="4"/>
      <c r="I165" s="77"/>
      <c r="J165" s="156"/>
      <c r="K165" s="77"/>
      <c r="L165" s="78"/>
      <c r="M165" s="78"/>
      <c r="N165" s="49"/>
      <c r="O165" s="49" t="e">
        <f>IF($E165="posto/hora extra",0,IF(OR(E165="posto/dia",E165="posto/dia líder"),VLOOKUP($C165,'Indicadores Financeiros'!$A$107:$J$119,8,FALSE)+VLOOKUP($C165,'Indicadores Financeiros'!$A$107:$J$119,9,FALSE)+VLOOKUP($C165,'Indicadores Financeiros'!$A$107:$J$119,10,FALSE),IF('Indicadores Financeiros'!$J$91=0,0,(VLOOKUP($C165,'Indicadores Financeiros'!$A$107:$J$119,9,FALSE)+VLOOKUP('Relatório Custo'!$C165,'Indicadores Financeiros'!$A$107:$J$119,10,FALSE)+('Indicadores Financeiros'!$J$87*'Relatório Custo'!$H165)))))</f>
        <v>#N/A</v>
      </c>
      <c r="P165" s="49"/>
      <c r="Q165" s="81"/>
      <c r="R165" s="81"/>
      <c r="S165" s="82"/>
      <c r="T165" s="47"/>
      <c r="U165" s="83"/>
      <c r="V165" s="24"/>
      <c r="W165" s="91"/>
      <c r="X165" s="20"/>
      <c r="Y165" s="114"/>
      <c r="Z165" s="43"/>
      <c r="AA165" s="41"/>
      <c r="AB165" s="25"/>
      <c r="AC165" s="23"/>
      <c r="AD165" s="23"/>
      <c r="AE165" s="154"/>
      <c r="AF165" s="155"/>
      <c r="AG165" s="155"/>
      <c r="AH165" s="31"/>
      <c r="AI165" s="31"/>
      <c r="AJ165" s="31"/>
      <c r="AK165" s="31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</row>
    <row r="166" spans="1:346" s="26" customFormat="1">
      <c r="A166" s="21"/>
      <c r="B166" s="22"/>
      <c r="C166" s="4"/>
      <c r="D166" s="7"/>
      <c r="E166" s="7"/>
      <c r="F166" s="4"/>
      <c r="G166" s="4"/>
      <c r="H166" s="4"/>
      <c r="I166" s="77"/>
      <c r="J166" s="156"/>
      <c r="K166" s="77"/>
      <c r="L166" s="78"/>
      <c r="M166" s="78"/>
      <c r="N166" s="49"/>
      <c r="O166" s="49" t="e">
        <f>IF($E166="posto/hora extra",0,IF(OR(E166="posto/dia",E166="posto/dia líder"),VLOOKUP($C166,'Indicadores Financeiros'!$A$107:$J$119,8,FALSE)+VLOOKUP($C166,'Indicadores Financeiros'!$A$107:$J$119,9,FALSE)+VLOOKUP($C166,'Indicadores Financeiros'!$A$107:$J$119,10,FALSE),IF('Indicadores Financeiros'!$J$91=0,0,(VLOOKUP($C166,'Indicadores Financeiros'!$A$107:$J$119,9,FALSE)+VLOOKUP('Relatório Custo'!$C166,'Indicadores Financeiros'!$A$107:$J$119,10,FALSE)+('Indicadores Financeiros'!$J$87*'Relatório Custo'!$H166)))))</f>
        <v>#N/A</v>
      </c>
      <c r="P166" s="49"/>
      <c r="Q166" s="81"/>
      <c r="R166" s="81"/>
      <c r="S166" s="82"/>
      <c r="T166" s="47"/>
      <c r="U166" s="83"/>
      <c r="V166" s="24"/>
      <c r="W166" s="91"/>
      <c r="X166" s="20"/>
      <c r="Y166" s="114"/>
      <c r="Z166" s="43"/>
      <c r="AA166" s="41"/>
      <c r="AB166" s="25"/>
      <c r="AC166" s="23"/>
      <c r="AD166" s="23"/>
      <c r="AE166" s="154"/>
      <c r="AF166" s="155"/>
      <c r="AG166" s="155"/>
      <c r="AH166" s="31"/>
      <c r="AI166" s="31"/>
      <c r="AJ166" s="31"/>
      <c r="AK166" s="31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</row>
    <row r="167" spans="1:346" s="26" customFormat="1">
      <c r="A167" s="21"/>
      <c r="B167" s="22"/>
      <c r="C167" s="4"/>
      <c r="D167" s="7"/>
      <c r="E167" s="7"/>
      <c r="F167" s="4"/>
      <c r="G167" s="4"/>
      <c r="H167" s="4"/>
      <c r="I167" s="77"/>
      <c r="J167" s="156"/>
      <c r="K167" s="77"/>
      <c r="L167" s="78"/>
      <c r="M167" s="78"/>
      <c r="N167" s="49"/>
      <c r="O167" s="49" t="e">
        <f>IF($E167="posto/hora extra",0,IF(OR(E167="posto/dia",E167="posto/dia líder"),VLOOKUP($C167,'Indicadores Financeiros'!$A$107:$J$119,8,FALSE)+VLOOKUP($C167,'Indicadores Financeiros'!$A$107:$J$119,9,FALSE)+VLOOKUP($C167,'Indicadores Financeiros'!$A$107:$J$119,10,FALSE),IF('Indicadores Financeiros'!$J$91=0,0,(VLOOKUP($C167,'Indicadores Financeiros'!$A$107:$J$119,9,FALSE)+VLOOKUP('Relatório Custo'!$C167,'Indicadores Financeiros'!$A$107:$J$119,10,FALSE)+('Indicadores Financeiros'!$J$87*'Relatório Custo'!$H167)))))</f>
        <v>#N/A</v>
      </c>
      <c r="P167" s="49"/>
      <c r="Q167" s="81"/>
      <c r="R167" s="81"/>
      <c r="S167" s="82"/>
      <c r="T167" s="47"/>
      <c r="U167" s="83"/>
      <c r="V167" s="24"/>
      <c r="W167" s="91"/>
      <c r="X167" s="20"/>
      <c r="Y167" s="114"/>
      <c r="Z167" s="43"/>
      <c r="AA167" s="41"/>
      <c r="AB167" s="25"/>
      <c r="AC167" s="23"/>
      <c r="AD167" s="23"/>
      <c r="AE167" s="154"/>
      <c r="AF167" s="155"/>
      <c r="AG167" s="155"/>
      <c r="AH167" s="31"/>
      <c r="AI167" s="31"/>
      <c r="AJ167" s="31"/>
      <c r="AK167" s="31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</row>
    <row r="168" spans="1:346" s="26" customFormat="1">
      <c r="A168" s="21"/>
      <c r="B168" s="22"/>
      <c r="C168" s="4"/>
      <c r="D168" s="7"/>
      <c r="E168" s="7"/>
      <c r="F168" s="4"/>
      <c r="G168" s="4"/>
      <c r="H168" s="4"/>
      <c r="I168" s="77"/>
      <c r="J168" s="156"/>
      <c r="K168" s="77"/>
      <c r="L168" s="78"/>
      <c r="M168" s="78"/>
      <c r="N168" s="49"/>
      <c r="O168" s="49" t="e">
        <f>IF($E168="posto/hora extra",0,IF(OR(E168="posto/dia",E168="posto/dia líder"),VLOOKUP($C168,'Indicadores Financeiros'!$A$107:$J$119,8,FALSE)+VLOOKUP($C168,'Indicadores Financeiros'!$A$107:$J$119,9,FALSE)+VLOOKUP($C168,'Indicadores Financeiros'!$A$107:$J$119,10,FALSE),IF('Indicadores Financeiros'!$J$91=0,0,(VLOOKUP($C168,'Indicadores Financeiros'!$A$107:$J$119,9,FALSE)+VLOOKUP('Relatório Custo'!$C168,'Indicadores Financeiros'!$A$107:$J$119,10,FALSE)+('Indicadores Financeiros'!$J$87*'Relatório Custo'!$H168)))))</f>
        <v>#N/A</v>
      </c>
      <c r="P168" s="49"/>
      <c r="Q168" s="81"/>
      <c r="R168" s="81"/>
      <c r="S168" s="82"/>
      <c r="T168" s="47"/>
      <c r="U168" s="83"/>
      <c r="V168" s="24"/>
      <c r="W168" s="91"/>
      <c r="X168" s="20"/>
      <c r="Y168" s="114"/>
      <c r="Z168" s="43"/>
      <c r="AA168" s="41"/>
      <c r="AB168" s="25"/>
      <c r="AC168" s="23"/>
      <c r="AD168" s="23"/>
      <c r="AE168" s="154"/>
      <c r="AF168" s="155"/>
      <c r="AG168" s="155"/>
      <c r="AH168" s="31"/>
      <c r="AI168" s="31"/>
      <c r="AJ168" s="31"/>
      <c r="AK168" s="31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</row>
    <row r="169" spans="1:346" s="26" customFormat="1">
      <c r="A169" s="21"/>
      <c r="B169" s="22"/>
      <c r="C169" s="4"/>
      <c r="D169" s="7"/>
      <c r="E169" s="7"/>
      <c r="F169" s="4"/>
      <c r="G169" s="4"/>
      <c r="H169" s="4"/>
      <c r="I169" s="77"/>
      <c r="J169" s="156"/>
      <c r="K169" s="77"/>
      <c r="L169" s="78"/>
      <c r="M169" s="78"/>
      <c r="N169" s="49"/>
      <c r="O169" s="49" t="e">
        <f>IF($E169="posto/hora extra",0,IF(OR(E169="posto/dia",E169="posto/dia líder"),VLOOKUP($C169,'Indicadores Financeiros'!$A$107:$J$119,8,FALSE)+VLOOKUP($C169,'Indicadores Financeiros'!$A$107:$J$119,9,FALSE)+VLOOKUP($C169,'Indicadores Financeiros'!$A$107:$J$119,10,FALSE),IF('Indicadores Financeiros'!$J$91=0,0,(VLOOKUP($C169,'Indicadores Financeiros'!$A$107:$J$119,9,FALSE)+VLOOKUP('Relatório Custo'!$C169,'Indicadores Financeiros'!$A$107:$J$119,10,FALSE)+('Indicadores Financeiros'!$J$87*'Relatório Custo'!$H169)))))</f>
        <v>#N/A</v>
      </c>
      <c r="P169" s="49"/>
      <c r="Q169" s="81"/>
      <c r="R169" s="81"/>
      <c r="S169" s="82"/>
      <c r="T169" s="47"/>
      <c r="U169" s="83"/>
      <c r="V169" s="24"/>
      <c r="W169" s="91"/>
      <c r="X169" s="20"/>
      <c r="Y169" s="114"/>
      <c r="Z169" s="43"/>
      <c r="AA169" s="41"/>
      <c r="AB169" s="25"/>
      <c r="AC169" s="23"/>
      <c r="AD169" s="23"/>
      <c r="AE169" s="154"/>
      <c r="AF169" s="155"/>
      <c r="AG169" s="155"/>
      <c r="AH169" s="31"/>
      <c r="AI169" s="31"/>
      <c r="AJ169" s="31"/>
      <c r="AK169" s="31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</row>
    <row r="170" spans="1:346" s="26" customFormat="1">
      <c r="A170" s="21"/>
      <c r="B170" s="22"/>
      <c r="C170" s="4"/>
      <c r="D170" s="7"/>
      <c r="E170" s="7"/>
      <c r="F170" s="4"/>
      <c r="G170" s="4"/>
      <c r="H170" s="4"/>
      <c r="I170" s="77"/>
      <c r="J170" s="156"/>
      <c r="K170" s="77"/>
      <c r="L170" s="78"/>
      <c r="M170" s="78"/>
      <c r="N170" s="49"/>
      <c r="O170" s="49" t="e">
        <f>IF($E170="posto/hora extra",0,IF(OR(E170="posto/dia",E170="posto/dia líder"),VLOOKUP($C170,'Indicadores Financeiros'!$A$107:$J$119,8,FALSE)+VLOOKUP($C170,'Indicadores Financeiros'!$A$107:$J$119,9,FALSE)+VLOOKUP($C170,'Indicadores Financeiros'!$A$107:$J$119,10,FALSE),IF('Indicadores Financeiros'!$J$91=0,0,(VLOOKUP($C170,'Indicadores Financeiros'!$A$107:$J$119,9,FALSE)+VLOOKUP('Relatório Custo'!$C170,'Indicadores Financeiros'!$A$107:$J$119,10,FALSE)+('Indicadores Financeiros'!$J$87*'Relatório Custo'!$H170)))))</f>
        <v>#N/A</v>
      </c>
      <c r="P170" s="49"/>
      <c r="Q170" s="81"/>
      <c r="R170" s="81"/>
      <c r="S170" s="82"/>
      <c r="T170" s="47"/>
      <c r="U170" s="83"/>
      <c r="V170" s="24"/>
      <c r="W170" s="91"/>
      <c r="X170" s="20"/>
      <c r="Y170" s="114"/>
      <c r="Z170" s="43"/>
      <c r="AA170" s="41"/>
      <c r="AB170" s="25"/>
      <c r="AC170" s="23"/>
      <c r="AD170" s="23"/>
      <c r="AE170" s="154"/>
      <c r="AF170" s="155"/>
      <c r="AG170" s="155"/>
      <c r="AH170" s="31"/>
      <c r="AI170" s="31"/>
      <c r="AJ170" s="31"/>
      <c r="AK170" s="31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</row>
    <row r="171" spans="1:346" s="26" customFormat="1">
      <c r="A171" s="21"/>
      <c r="B171" s="22"/>
      <c r="C171" s="4"/>
      <c r="D171" s="7"/>
      <c r="E171" s="7"/>
      <c r="F171" s="4"/>
      <c r="G171" s="4"/>
      <c r="H171" s="4"/>
      <c r="I171" s="77"/>
      <c r="J171" s="156"/>
      <c r="K171" s="77"/>
      <c r="L171" s="78"/>
      <c r="M171" s="78"/>
      <c r="N171" s="49"/>
      <c r="O171" s="49" t="e">
        <f>IF($E171="posto/hora extra",0,IF(OR(E171="posto/dia",E171="posto/dia líder"),VLOOKUP($C171,'Indicadores Financeiros'!$A$107:$J$119,8,FALSE)+VLOOKUP($C171,'Indicadores Financeiros'!$A$107:$J$119,9,FALSE)+VLOOKUP($C171,'Indicadores Financeiros'!$A$107:$J$119,10,FALSE),IF('Indicadores Financeiros'!$J$91=0,0,(VLOOKUP($C171,'Indicadores Financeiros'!$A$107:$J$119,9,FALSE)+VLOOKUP('Relatório Custo'!$C171,'Indicadores Financeiros'!$A$107:$J$119,10,FALSE)+('Indicadores Financeiros'!$J$87*'Relatório Custo'!$H171)))))</f>
        <v>#N/A</v>
      </c>
      <c r="P171" s="49"/>
      <c r="Q171" s="81"/>
      <c r="R171" s="81"/>
      <c r="S171" s="82"/>
      <c r="T171" s="47"/>
      <c r="U171" s="83"/>
      <c r="V171" s="24"/>
      <c r="W171" s="91"/>
      <c r="X171" s="20"/>
      <c r="Y171" s="114"/>
      <c r="Z171" s="43"/>
      <c r="AA171" s="41"/>
      <c r="AB171" s="25"/>
      <c r="AC171" s="23"/>
      <c r="AD171" s="23"/>
      <c r="AE171" s="154"/>
      <c r="AF171" s="155"/>
      <c r="AG171" s="155"/>
      <c r="AH171" s="31"/>
      <c r="AI171" s="31"/>
      <c r="AJ171" s="31"/>
      <c r="AK171" s="31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</row>
    <row r="172" spans="1:346" s="26" customFormat="1">
      <c r="A172" s="21"/>
      <c r="B172" s="22"/>
      <c r="C172" s="4"/>
      <c r="D172" s="7"/>
      <c r="E172" s="7"/>
      <c r="F172" s="4"/>
      <c r="G172" s="4"/>
      <c r="H172" s="4"/>
      <c r="I172" s="77"/>
      <c r="J172" s="156"/>
      <c r="K172" s="77"/>
      <c r="L172" s="78"/>
      <c r="M172" s="78"/>
      <c r="N172" s="49"/>
      <c r="O172" s="49" t="e">
        <f>IF($E172="posto/hora extra",0,IF(OR(E172="posto/dia",E172="posto/dia líder"),VLOOKUP($C172,'Indicadores Financeiros'!$A$107:$J$119,8,FALSE)+VLOOKUP($C172,'Indicadores Financeiros'!$A$107:$J$119,9,FALSE)+VLOOKUP($C172,'Indicadores Financeiros'!$A$107:$J$119,10,FALSE),IF('Indicadores Financeiros'!$J$91=0,0,(VLOOKUP($C172,'Indicadores Financeiros'!$A$107:$J$119,9,FALSE)+VLOOKUP('Relatório Custo'!$C172,'Indicadores Financeiros'!$A$107:$J$119,10,FALSE)+('Indicadores Financeiros'!$J$87*'Relatório Custo'!$H172)))))</f>
        <v>#N/A</v>
      </c>
      <c r="P172" s="49"/>
      <c r="Q172" s="81"/>
      <c r="R172" s="81"/>
      <c r="S172" s="82"/>
      <c r="T172" s="47"/>
      <c r="U172" s="83"/>
      <c r="V172" s="24"/>
      <c r="W172" s="91"/>
      <c r="X172" s="20"/>
      <c r="Y172" s="114"/>
      <c r="Z172" s="43"/>
      <c r="AA172" s="41"/>
      <c r="AB172" s="25"/>
      <c r="AC172" s="23"/>
      <c r="AD172" s="23"/>
      <c r="AE172" s="154"/>
      <c r="AF172" s="155"/>
      <c r="AG172" s="155"/>
      <c r="AH172" s="31"/>
      <c r="AI172" s="31"/>
      <c r="AJ172" s="31"/>
      <c r="AK172" s="31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</row>
    <row r="173" spans="1:346" s="26" customFormat="1">
      <c r="A173" s="21"/>
      <c r="B173" s="22"/>
      <c r="C173" s="4"/>
      <c r="D173" s="7"/>
      <c r="E173" s="7"/>
      <c r="F173" s="4"/>
      <c r="G173" s="4"/>
      <c r="H173" s="4"/>
      <c r="I173" s="77"/>
      <c r="J173" s="156"/>
      <c r="K173" s="77"/>
      <c r="L173" s="78"/>
      <c r="M173" s="78"/>
      <c r="N173" s="49"/>
      <c r="O173" s="49" t="e">
        <f>IF($E173="posto/hora extra",0,IF(OR(E173="posto/dia",E173="posto/dia líder"),VLOOKUP($C173,'Indicadores Financeiros'!$A$107:$J$119,8,FALSE)+VLOOKUP($C173,'Indicadores Financeiros'!$A$107:$J$119,9,FALSE)+VLOOKUP($C173,'Indicadores Financeiros'!$A$107:$J$119,10,FALSE),IF('Indicadores Financeiros'!$J$91=0,0,(VLOOKUP($C173,'Indicadores Financeiros'!$A$107:$J$119,9,FALSE)+VLOOKUP('Relatório Custo'!$C173,'Indicadores Financeiros'!$A$107:$J$119,10,FALSE)+('Indicadores Financeiros'!$J$87*'Relatório Custo'!$H173)))))</f>
        <v>#N/A</v>
      </c>
      <c r="P173" s="49"/>
      <c r="Q173" s="81"/>
      <c r="R173" s="81"/>
      <c r="S173" s="82"/>
      <c r="T173" s="47"/>
      <c r="U173" s="83"/>
      <c r="V173" s="24"/>
      <c r="W173" s="91"/>
      <c r="X173" s="20"/>
      <c r="Y173" s="114"/>
      <c r="Z173" s="43"/>
      <c r="AA173" s="41"/>
      <c r="AB173" s="25"/>
      <c r="AC173" s="23"/>
      <c r="AD173" s="23"/>
      <c r="AE173" s="154"/>
      <c r="AF173" s="155"/>
      <c r="AG173" s="155"/>
      <c r="AH173" s="31"/>
      <c r="AI173" s="31"/>
      <c r="AJ173" s="31"/>
      <c r="AK173" s="31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</row>
    <row r="174" spans="1:346" s="26" customFormat="1">
      <c r="A174" s="21"/>
      <c r="B174" s="22"/>
      <c r="C174" s="4"/>
      <c r="D174" s="7"/>
      <c r="E174" s="7"/>
      <c r="F174" s="4"/>
      <c r="G174" s="4"/>
      <c r="H174" s="4"/>
      <c r="I174" s="77"/>
      <c r="J174" s="156"/>
      <c r="K174" s="77"/>
      <c r="L174" s="78"/>
      <c r="M174" s="78"/>
      <c r="N174" s="49"/>
      <c r="O174" s="49" t="e">
        <f>IF($E174="posto/hora extra",0,IF(OR(E174="posto/dia",E174="posto/dia líder"),VLOOKUP($C174,'Indicadores Financeiros'!$A$107:$J$119,8,FALSE)+VLOOKUP($C174,'Indicadores Financeiros'!$A$107:$J$119,9,FALSE)+VLOOKUP($C174,'Indicadores Financeiros'!$A$107:$J$119,10,FALSE),IF('Indicadores Financeiros'!$J$91=0,0,(VLOOKUP($C174,'Indicadores Financeiros'!$A$107:$J$119,9,FALSE)+VLOOKUP('Relatório Custo'!$C174,'Indicadores Financeiros'!$A$107:$J$119,10,FALSE)+('Indicadores Financeiros'!$J$87*'Relatório Custo'!$H174)))))</f>
        <v>#N/A</v>
      </c>
      <c r="P174" s="49"/>
      <c r="Q174" s="81"/>
      <c r="R174" s="81"/>
      <c r="S174" s="82"/>
      <c r="T174" s="47"/>
      <c r="U174" s="83"/>
      <c r="V174" s="24"/>
      <c r="W174" s="91"/>
      <c r="X174" s="20"/>
      <c r="Y174" s="114"/>
      <c r="Z174" s="43"/>
      <c r="AA174" s="41"/>
      <c r="AB174" s="25"/>
      <c r="AC174" s="23"/>
      <c r="AD174" s="23"/>
      <c r="AE174" s="154"/>
      <c r="AF174" s="155"/>
      <c r="AG174" s="155"/>
      <c r="AH174" s="31"/>
      <c r="AI174" s="31"/>
      <c r="AJ174" s="31"/>
      <c r="AK174" s="31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</row>
    <row r="175" spans="1:346" s="26" customFormat="1">
      <c r="A175" s="21"/>
      <c r="B175" s="22"/>
      <c r="C175" s="4"/>
      <c r="D175" s="7"/>
      <c r="E175" s="7"/>
      <c r="F175" s="4"/>
      <c r="G175" s="4"/>
      <c r="H175" s="4"/>
      <c r="I175" s="77"/>
      <c r="J175" s="156"/>
      <c r="K175" s="77"/>
      <c r="L175" s="78"/>
      <c r="M175" s="78"/>
      <c r="N175" s="49"/>
      <c r="O175" s="49" t="e">
        <f>IF($E175="posto/hora extra",0,IF(OR(E175="posto/dia",E175="posto/dia líder"),VLOOKUP($C175,'Indicadores Financeiros'!$A$107:$J$119,8,FALSE)+VLOOKUP($C175,'Indicadores Financeiros'!$A$107:$J$119,9,FALSE)+VLOOKUP($C175,'Indicadores Financeiros'!$A$107:$J$119,10,FALSE),IF('Indicadores Financeiros'!$J$91=0,0,(VLOOKUP($C175,'Indicadores Financeiros'!$A$107:$J$119,9,FALSE)+VLOOKUP('Relatório Custo'!$C175,'Indicadores Financeiros'!$A$107:$J$119,10,FALSE)+('Indicadores Financeiros'!$J$87*'Relatório Custo'!$H175)))))</f>
        <v>#N/A</v>
      </c>
      <c r="P175" s="49"/>
      <c r="Q175" s="81"/>
      <c r="R175" s="81"/>
      <c r="S175" s="82"/>
      <c r="T175" s="47"/>
      <c r="U175" s="83"/>
      <c r="V175" s="24"/>
      <c r="W175" s="91"/>
      <c r="X175" s="20"/>
      <c r="Y175" s="114"/>
      <c r="Z175" s="43"/>
      <c r="AA175" s="41"/>
      <c r="AB175" s="25"/>
      <c r="AC175" s="23"/>
      <c r="AD175" s="23"/>
      <c r="AE175" s="154"/>
      <c r="AF175" s="155"/>
      <c r="AG175" s="155"/>
      <c r="AH175" s="31"/>
      <c r="AI175" s="31"/>
      <c r="AJ175" s="31"/>
      <c r="AK175" s="31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</row>
    <row r="176" spans="1:346" s="26" customFormat="1">
      <c r="A176" s="21"/>
      <c r="B176" s="22"/>
      <c r="C176" s="4"/>
      <c r="D176" s="7"/>
      <c r="E176" s="7"/>
      <c r="F176" s="4"/>
      <c r="G176" s="4"/>
      <c r="H176" s="4"/>
      <c r="I176" s="77"/>
      <c r="J176" s="156"/>
      <c r="K176" s="77"/>
      <c r="L176" s="78"/>
      <c r="M176" s="78"/>
      <c r="N176" s="49"/>
      <c r="O176" s="49" t="e">
        <f>IF($E176="posto/hora extra",0,IF(OR(E176="posto/dia",E176="posto/dia líder"),VLOOKUP($C176,'Indicadores Financeiros'!$A$107:$J$119,8,FALSE)+VLOOKUP($C176,'Indicadores Financeiros'!$A$107:$J$119,9,FALSE)+VLOOKUP($C176,'Indicadores Financeiros'!$A$107:$J$119,10,FALSE),IF('Indicadores Financeiros'!$J$91=0,0,(VLOOKUP($C176,'Indicadores Financeiros'!$A$107:$J$119,9,FALSE)+VLOOKUP('Relatório Custo'!$C176,'Indicadores Financeiros'!$A$107:$J$119,10,FALSE)+('Indicadores Financeiros'!$J$87*'Relatório Custo'!$H176)))))</f>
        <v>#N/A</v>
      </c>
      <c r="P176" s="49"/>
      <c r="Q176" s="81"/>
      <c r="R176" s="81"/>
      <c r="S176" s="82"/>
      <c r="T176" s="47"/>
      <c r="U176" s="83"/>
      <c r="V176" s="24"/>
      <c r="W176" s="91"/>
      <c r="X176" s="20"/>
      <c r="Y176" s="114"/>
      <c r="Z176" s="43"/>
      <c r="AA176" s="41"/>
      <c r="AB176" s="25"/>
      <c r="AC176" s="23"/>
      <c r="AD176" s="23"/>
      <c r="AE176" s="154"/>
      <c r="AF176" s="155"/>
      <c r="AG176" s="155"/>
      <c r="AH176" s="31"/>
      <c r="AI176" s="31"/>
      <c r="AJ176" s="31"/>
      <c r="AK176" s="31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</row>
    <row r="177" spans="1:346" s="26" customFormat="1">
      <c r="A177" s="21"/>
      <c r="B177" s="22"/>
      <c r="C177" s="4"/>
      <c r="D177" s="7"/>
      <c r="E177" s="7"/>
      <c r="F177" s="4"/>
      <c r="G177" s="4"/>
      <c r="H177" s="4"/>
      <c r="I177" s="77"/>
      <c r="J177" s="156"/>
      <c r="K177" s="77"/>
      <c r="L177" s="78"/>
      <c r="M177" s="78"/>
      <c r="N177" s="49"/>
      <c r="O177" s="49" t="e">
        <f>IF($E177="posto/hora extra",0,IF(OR(E177="posto/dia",E177="posto/dia líder"),VLOOKUP($C177,'Indicadores Financeiros'!$A$107:$J$119,8,FALSE)+VLOOKUP($C177,'Indicadores Financeiros'!$A$107:$J$119,9,FALSE)+VLOOKUP($C177,'Indicadores Financeiros'!$A$107:$J$119,10,FALSE),IF('Indicadores Financeiros'!$J$91=0,0,(VLOOKUP($C177,'Indicadores Financeiros'!$A$107:$J$119,9,FALSE)+VLOOKUP('Relatório Custo'!$C177,'Indicadores Financeiros'!$A$107:$J$119,10,FALSE)+('Indicadores Financeiros'!$J$87*'Relatório Custo'!$H177)))))</f>
        <v>#N/A</v>
      </c>
      <c r="P177" s="49"/>
      <c r="Q177" s="81"/>
      <c r="R177" s="81"/>
      <c r="S177" s="82"/>
      <c r="T177" s="47"/>
      <c r="U177" s="83"/>
      <c r="V177" s="24"/>
      <c r="W177" s="91"/>
      <c r="X177" s="20"/>
      <c r="Y177" s="114"/>
      <c r="Z177" s="43"/>
      <c r="AA177" s="41"/>
      <c r="AB177" s="25"/>
      <c r="AC177" s="23"/>
      <c r="AD177" s="23"/>
      <c r="AE177" s="154"/>
      <c r="AF177" s="155"/>
      <c r="AG177" s="155"/>
      <c r="AH177" s="31"/>
      <c r="AI177" s="31"/>
      <c r="AJ177" s="31"/>
      <c r="AK177" s="31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</row>
    <row r="178" spans="1:346" s="26" customFormat="1">
      <c r="A178" s="21"/>
      <c r="B178" s="22"/>
      <c r="C178" s="4"/>
      <c r="D178" s="7"/>
      <c r="E178" s="7"/>
      <c r="F178" s="4"/>
      <c r="G178" s="4"/>
      <c r="H178" s="4"/>
      <c r="I178" s="77"/>
      <c r="J178" s="156"/>
      <c r="K178" s="77"/>
      <c r="L178" s="78"/>
      <c r="M178" s="78"/>
      <c r="N178" s="49"/>
      <c r="O178" s="49" t="e">
        <f>IF($E178="posto/hora extra",0,IF(OR(E178="posto/dia",E178="posto/dia líder"),VLOOKUP($C178,'Indicadores Financeiros'!$A$107:$J$119,8,FALSE)+VLOOKUP($C178,'Indicadores Financeiros'!$A$107:$J$119,9,FALSE)+VLOOKUP($C178,'Indicadores Financeiros'!$A$107:$J$119,10,FALSE),IF('Indicadores Financeiros'!$J$91=0,0,(VLOOKUP($C178,'Indicadores Financeiros'!$A$107:$J$119,9,FALSE)+VLOOKUP('Relatório Custo'!$C178,'Indicadores Financeiros'!$A$107:$J$119,10,FALSE)+('Indicadores Financeiros'!$J$87*'Relatório Custo'!$H178)))))</f>
        <v>#N/A</v>
      </c>
      <c r="P178" s="49"/>
      <c r="Q178" s="81"/>
      <c r="R178" s="81"/>
      <c r="S178" s="82"/>
      <c r="T178" s="47"/>
      <c r="U178" s="83"/>
      <c r="V178" s="24"/>
      <c r="W178" s="91"/>
      <c r="X178" s="20"/>
      <c r="Y178" s="114"/>
      <c r="Z178" s="43"/>
      <c r="AA178" s="41"/>
      <c r="AB178" s="25"/>
      <c r="AC178" s="23"/>
      <c r="AD178" s="23"/>
      <c r="AE178" s="154"/>
      <c r="AF178" s="155"/>
      <c r="AG178" s="155"/>
      <c r="AH178" s="31"/>
      <c r="AI178" s="31"/>
      <c r="AJ178" s="31"/>
      <c r="AK178" s="31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</row>
    <row r="179" spans="1:346" s="26" customFormat="1">
      <c r="A179" s="21"/>
      <c r="B179" s="22"/>
      <c r="C179" s="4"/>
      <c r="D179" s="7"/>
      <c r="E179" s="7"/>
      <c r="F179" s="4"/>
      <c r="G179" s="4"/>
      <c r="H179" s="4"/>
      <c r="I179" s="77"/>
      <c r="J179" s="156"/>
      <c r="K179" s="77"/>
      <c r="L179" s="78"/>
      <c r="M179" s="78"/>
      <c r="N179" s="49"/>
      <c r="O179" s="49" t="e">
        <f>IF($E179="posto/hora extra",0,IF(OR(E179="posto/dia",E179="posto/dia líder"),VLOOKUP($C179,'Indicadores Financeiros'!$A$107:$J$119,8,FALSE)+VLOOKUP($C179,'Indicadores Financeiros'!$A$107:$J$119,9,FALSE)+VLOOKUP($C179,'Indicadores Financeiros'!$A$107:$J$119,10,FALSE),IF('Indicadores Financeiros'!$J$91=0,0,(VLOOKUP($C179,'Indicadores Financeiros'!$A$107:$J$119,9,FALSE)+VLOOKUP('Relatório Custo'!$C179,'Indicadores Financeiros'!$A$107:$J$119,10,FALSE)+('Indicadores Financeiros'!$J$87*'Relatório Custo'!$H179)))))</f>
        <v>#N/A</v>
      </c>
      <c r="P179" s="49"/>
      <c r="Q179" s="81"/>
      <c r="R179" s="81"/>
      <c r="S179" s="82"/>
      <c r="T179" s="47"/>
      <c r="U179" s="83"/>
      <c r="V179" s="24"/>
      <c r="W179" s="91"/>
      <c r="X179" s="20"/>
      <c r="Y179" s="114"/>
      <c r="Z179" s="43"/>
      <c r="AA179" s="41"/>
      <c r="AB179" s="25"/>
      <c r="AC179" s="23"/>
      <c r="AD179" s="23"/>
      <c r="AE179" s="154"/>
      <c r="AF179" s="155"/>
      <c r="AG179" s="155"/>
      <c r="AH179" s="31"/>
      <c r="AI179" s="31"/>
      <c r="AJ179" s="31"/>
      <c r="AK179" s="31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</row>
    <row r="180" spans="1:346" s="26" customFormat="1">
      <c r="A180" s="21"/>
      <c r="B180" s="22"/>
      <c r="C180" s="4"/>
      <c r="D180" s="7"/>
      <c r="E180" s="7"/>
      <c r="F180" s="4"/>
      <c r="G180" s="4"/>
      <c r="H180" s="4"/>
      <c r="I180" s="77"/>
      <c r="J180" s="156"/>
      <c r="K180" s="77"/>
      <c r="L180" s="78"/>
      <c r="M180" s="78"/>
      <c r="N180" s="49"/>
      <c r="O180" s="49" t="e">
        <f>IF($E180="posto/hora extra",0,IF(OR(E180="posto/dia",E180="posto/dia líder"),VLOOKUP($C180,'Indicadores Financeiros'!$A$107:$J$119,8,FALSE)+VLOOKUP($C180,'Indicadores Financeiros'!$A$107:$J$119,9,FALSE)+VLOOKUP($C180,'Indicadores Financeiros'!$A$107:$J$119,10,FALSE),IF('Indicadores Financeiros'!$J$91=0,0,(VLOOKUP($C180,'Indicadores Financeiros'!$A$107:$J$119,9,FALSE)+VLOOKUP('Relatório Custo'!$C180,'Indicadores Financeiros'!$A$107:$J$119,10,FALSE)+('Indicadores Financeiros'!$J$87*'Relatório Custo'!$H180)))))</f>
        <v>#N/A</v>
      </c>
      <c r="P180" s="49"/>
      <c r="Q180" s="81"/>
      <c r="R180" s="81"/>
      <c r="S180" s="82"/>
      <c r="T180" s="47"/>
      <c r="U180" s="83"/>
      <c r="V180" s="24"/>
      <c r="W180" s="91"/>
      <c r="X180" s="20"/>
      <c r="Y180" s="114"/>
      <c r="Z180" s="43"/>
      <c r="AA180" s="41"/>
      <c r="AB180" s="25"/>
      <c r="AC180" s="23"/>
      <c r="AD180" s="23"/>
      <c r="AE180" s="154"/>
      <c r="AF180" s="155"/>
      <c r="AG180" s="155"/>
      <c r="AH180" s="31"/>
      <c r="AI180" s="31"/>
      <c r="AJ180" s="31"/>
      <c r="AK180" s="31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</row>
    <row r="181" spans="1:346" s="26" customFormat="1">
      <c r="A181" s="21"/>
      <c r="B181" s="22"/>
      <c r="C181" s="4"/>
      <c r="D181" s="7"/>
      <c r="E181" s="7"/>
      <c r="F181" s="4"/>
      <c r="G181" s="4"/>
      <c r="H181" s="4"/>
      <c r="I181" s="77"/>
      <c r="J181" s="156"/>
      <c r="K181" s="77"/>
      <c r="L181" s="78"/>
      <c r="M181" s="78"/>
      <c r="N181" s="49"/>
      <c r="O181" s="49" t="e">
        <f>IF($E181="posto/hora extra",0,IF(OR(E181="posto/dia",E181="posto/dia líder"),VLOOKUP($C181,'Indicadores Financeiros'!$A$107:$J$119,8,FALSE)+VLOOKUP($C181,'Indicadores Financeiros'!$A$107:$J$119,9,FALSE)+VLOOKUP($C181,'Indicadores Financeiros'!$A$107:$J$119,10,FALSE),IF('Indicadores Financeiros'!$J$91=0,0,(VLOOKUP($C181,'Indicadores Financeiros'!$A$107:$J$119,9,FALSE)+VLOOKUP('Relatório Custo'!$C181,'Indicadores Financeiros'!$A$107:$J$119,10,FALSE)+('Indicadores Financeiros'!$J$87*'Relatório Custo'!$H181)))))</f>
        <v>#N/A</v>
      </c>
      <c r="P181" s="49"/>
      <c r="Q181" s="81"/>
      <c r="R181" s="81"/>
      <c r="S181" s="82"/>
      <c r="T181" s="47"/>
      <c r="U181" s="83"/>
      <c r="V181" s="24"/>
      <c r="W181" s="91"/>
      <c r="X181" s="20"/>
      <c r="Y181" s="114"/>
      <c r="Z181" s="43"/>
      <c r="AA181" s="41"/>
      <c r="AB181" s="25"/>
      <c r="AC181" s="23"/>
      <c r="AD181" s="23"/>
      <c r="AE181" s="154"/>
      <c r="AF181" s="155"/>
      <c r="AG181" s="155"/>
      <c r="AH181" s="31"/>
      <c r="AI181" s="31"/>
      <c r="AJ181" s="31"/>
      <c r="AK181" s="31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</row>
    <row r="182" spans="1:346" s="26" customFormat="1">
      <c r="A182" s="21"/>
      <c r="B182" s="22"/>
      <c r="C182" s="4"/>
      <c r="D182" s="7"/>
      <c r="E182" s="7"/>
      <c r="F182" s="4"/>
      <c r="G182" s="4"/>
      <c r="H182" s="4"/>
      <c r="I182" s="77"/>
      <c r="J182" s="156"/>
      <c r="K182" s="77"/>
      <c r="L182" s="78"/>
      <c r="M182" s="78"/>
      <c r="N182" s="49"/>
      <c r="O182" s="49" t="e">
        <f>IF($E182="posto/hora extra",0,IF(OR(E182="posto/dia",E182="posto/dia líder"),VLOOKUP($C182,'Indicadores Financeiros'!$A$107:$J$119,8,FALSE)+VLOOKUP($C182,'Indicadores Financeiros'!$A$107:$J$119,9,FALSE)+VLOOKUP($C182,'Indicadores Financeiros'!$A$107:$J$119,10,FALSE),IF('Indicadores Financeiros'!$J$91=0,0,(VLOOKUP($C182,'Indicadores Financeiros'!$A$107:$J$119,9,FALSE)+VLOOKUP('Relatório Custo'!$C182,'Indicadores Financeiros'!$A$107:$J$119,10,FALSE)+('Indicadores Financeiros'!$J$87*'Relatório Custo'!$H182)))))</f>
        <v>#N/A</v>
      </c>
      <c r="P182" s="49"/>
      <c r="Q182" s="81"/>
      <c r="R182" s="81"/>
      <c r="S182" s="82"/>
      <c r="T182" s="47"/>
      <c r="U182" s="83"/>
      <c r="V182" s="24"/>
      <c r="W182" s="91"/>
      <c r="X182" s="20"/>
      <c r="Y182" s="114"/>
      <c r="Z182" s="43"/>
      <c r="AA182" s="41"/>
      <c r="AB182" s="25"/>
      <c r="AC182" s="23"/>
      <c r="AD182" s="23"/>
      <c r="AE182" s="154"/>
      <c r="AF182" s="155"/>
      <c r="AG182" s="155"/>
      <c r="AH182" s="31"/>
      <c r="AI182" s="31"/>
      <c r="AJ182" s="31"/>
      <c r="AK182" s="31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</row>
    <row r="183" spans="1:346" s="26" customFormat="1">
      <c r="A183" s="21"/>
      <c r="B183" s="22"/>
      <c r="C183" s="4"/>
      <c r="D183" s="7"/>
      <c r="E183" s="7"/>
      <c r="F183" s="4"/>
      <c r="G183" s="4"/>
      <c r="H183" s="4"/>
      <c r="I183" s="77"/>
      <c r="J183" s="156"/>
      <c r="K183" s="77"/>
      <c r="L183" s="78"/>
      <c r="M183" s="78"/>
      <c r="N183" s="49"/>
      <c r="O183" s="49" t="e">
        <f>IF($E183="posto/hora extra",0,IF(OR(E183="posto/dia",E183="posto/dia líder"),VLOOKUP($C183,'Indicadores Financeiros'!$A$107:$J$119,8,FALSE)+VLOOKUP($C183,'Indicadores Financeiros'!$A$107:$J$119,9,FALSE)+VLOOKUP($C183,'Indicadores Financeiros'!$A$107:$J$119,10,FALSE),IF('Indicadores Financeiros'!$J$91=0,0,(VLOOKUP($C183,'Indicadores Financeiros'!$A$107:$J$119,9,FALSE)+VLOOKUP('Relatório Custo'!$C183,'Indicadores Financeiros'!$A$107:$J$119,10,FALSE)+('Indicadores Financeiros'!$J$87*'Relatório Custo'!$H183)))))</f>
        <v>#N/A</v>
      </c>
      <c r="P183" s="49"/>
      <c r="Q183" s="81"/>
      <c r="R183" s="81"/>
      <c r="S183" s="82"/>
      <c r="T183" s="47"/>
      <c r="U183" s="83"/>
      <c r="V183" s="24"/>
      <c r="W183" s="91"/>
      <c r="X183" s="20"/>
      <c r="Y183" s="114"/>
      <c r="Z183" s="43"/>
      <c r="AA183" s="41"/>
      <c r="AB183" s="25"/>
      <c r="AC183" s="23"/>
      <c r="AD183" s="23"/>
      <c r="AE183" s="154"/>
      <c r="AF183" s="155"/>
      <c r="AG183" s="155"/>
      <c r="AH183" s="31"/>
      <c r="AI183" s="31"/>
      <c r="AJ183" s="31"/>
      <c r="AK183" s="31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</row>
    <row r="184" spans="1:346" s="26" customFormat="1">
      <c r="A184" s="21"/>
      <c r="B184" s="22"/>
      <c r="C184" s="4"/>
      <c r="D184" s="7"/>
      <c r="E184" s="7"/>
      <c r="F184" s="4"/>
      <c r="G184" s="4"/>
      <c r="H184" s="4"/>
      <c r="I184" s="77"/>
      <c r="J184" s="156"/>
      <c r="K184" s="77"/>
      <c r="L184" s="78"/>
      <c r="M184" s="78"/>
      <c r="N184" s="49"/>
      <c r="O184" s="49" t="e">
        <f>IF($E184="posto/hora extra",0,IF(OR(E184="posto/dia",E184="posto/dia líder"),VLOOKUP($C184,'Indicadores Financeiros'!$A$107:$J$119,8,FALSE)+VLOOKUP($C184,'Indicadores Financeiros'!$A$107:$J$119,9,FALSE)+VLOOKUP($C184,'Indicadores Financeiros'!$A$107:$J$119,10,FALSE),IF('Indicadores Financeiros'!$J$91=0,0,(VLOOKUP($C184,'Indicadores Financeiros'!$A$107:$J$119,9,FALSE)+VLOOKUP('Relatório Custo'!$C184,'Indicadores Financeiros'!$A$107:$J$119,10,FALSE)+('Indicadores Financeiros'!$J$87*'Relatório Custo'!$H184)))))</f>
        <v>#N/A</v>
      </c>
      <c r="P184" s="49"/>
      <c r="Q184" s="81"/>
      <c r="R184" s="81"/>
      <c r="S184" s="82"/>
      <c r="T184" s="47"/>
      <c r="U184" s="83"/>
      <c r="V184" s="24"/>
      <c r="W184" s="91"/>
      <c r="X184" s="20"/>
      <c r="Y184" s="114"/>
      <c r="Z184" s="43"/>
      <c r="AA184" s="41"/>
      <c r="AB184" s="25"/>
      <c r="AC184" s="23"/>
      <c r="AD184" s="23"/>
      <c r="AE184" s="154"/>
      <c r="AF184" s="155"/>
      <c r="AG184" s="155"/>
      <c r="AH184" s="31"/>
      <c r="AI184" s="31"/>
      <c r="AJ184" s="31"/>
      <c r="AK184" s="31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</row>
    <row r="185" spans="1:346" s="26" customFormat="1">
      <c r="A185" s="21"/>
      <c r="B185" s="22"/>
      <c r="C185" s="4"/>
      <c r="D185" s="7"/>
      <c r="E185" s="7"/>
      <c r="F185" s="4"/>
      <c r="G185" s="4"/>
      <c r="H185" s="4"/>
      <c r="I185" s="77"/>
      <c r="J185" s="156"/>
      <c r="K185" s="77"/>
      <c r="L185" s="78"/>
      <c r="M185" s="78"/>
      <c r="N185" s="49"/>
      <c r="O185" s="49" t="e">
        <f>IF($E185="posto/hora extra",0,IF(OR(E185="posto/dia",E185="posto/dia líder"),VLOOKUP($C185,'Indicadores Financeiros'!$A$107:$J$119,8,FALSE)+VLOOKUP($C185,'Indicadores Financeiros'!$A$107:$J$119,9,FALSE)+VLOOKUP($C185,'Indicadores Financeiros'!$A$107:$J$119,10,FALSE),IF('Indicadores Financeiros'!$J$91=0,0,(VLOOKUP($C185,'Indicadores Financeiros'!$A$107:$J$119,9,FALSE)+VLOOKUP('Relatório Custo'!$C185,'Indicadores Financeiros'!$A$107:$J$119,10,FALSE)+('Indicadores Financeiros'!$J$87*'Relatório Custo'!$H185)))))</f>
        <v>#N/A</v>
      </c>
      <c r="P185" s="49"/>
      <c r="Q185" s="81"/>
      <c r="R185" s="81"/>
      <c r="S185" s="82"/>
      <c r="T185" s="47"/>
      <c r="U185" s="83"/>
      <c r="V185" s="24"/>
      <c r="W185" s="91"/>
      <c r="X185" s="20"/>
      <c r="Y185" s="114"/>
      <c r="Z185" s="43"/>
      <c r="AA185" s="41"/>
      <c r="AB185" s="25"/>
      <c r="AC185" s="23"/>
      <c r="AD185" s="23"/>
      <c r="AE185" s="154"/>
      <c r="AF185" s="155"/>
      <c r="AG185" s="155"/>
      <c r="AH185" s="31"/>
      <c r="AI185" s="31"/>
      <c r="AJ185" s="31"/>
      <c r="AK185" s="31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</row>
    <row r="186" spans="1:346" s="26" customFormat="1">
      <c r="A186" s="21"/>
      <c r="B186" s="22"/>
      <c r="C186" s="4"/>
      <c r="D186" s="7"/>
      <c r="E186" s="7"/>
      <c r="F186" s="4"/>
      <c r="G186" s="4"/>
      <c r="H186" s="4"/>
      <c r="I186" s="77"/>
      <c r="J186" s="156"/>
      <c r="K186" s="77"/>
      <c r="L186" s="78"/>
      <c r="M186" s="78"/>
      <c r="N186" s="49"/>
      <c r="O186" s="49" t="e">
        <f>IF($E186="posto/hora extra",0,IF(OR(E186="posto/dia",E186="posto/dia líder"),VLOOKUP($C186,'Indicadores Financeiros'!$A$107:$J$119,8,FALSE)+VLOOKUP($C186,'Indicadores Financeiros'!$A$107:$J$119,9,FALSE)+VLOOKUP($C186,'Indicadores Financeiros'!$A$107:$J$119,10,FALSE),IF('Indicadores Financeiros'!$J$91=0,0,(VLOOKUP($C186,'Indicadores Financeiros'!$A$107:$J$119,9,FALSE)+VLOOKUP('Relatório Custo'!$C186,'Indicadores Financeiros'!$A$107:$J$119,10,FALSE)+('Indicadores Financeiros'!$J$87*'Relatório Custo'!$H186)))))</f>
        <v>#N/A</v>
      </c>
      <c r="P186" s="49"/>
      <c r="Q186" s="81"/>
      <c r="R186" s="81"/>
      <c r="S186" s="82"/>
      <c r="T186" s="47"/>
      <c r="U186" s="83"/>
      <c r="V186" s="24"/>
      <c r="W186" s="91"/>
      <c r="X186" s="20"/>
      <c r="Y186" s="114"/>
      <c r="Z186" s="43"/>
      <c r="AA186" s="41"/>
      <c r="AB186" s="25"/>
      <c r="AC186" s="23"/>
      <c r="AD186" s="23"/>
      <c r="AE186" s="154"/>
      <c r="AF186" s="155"/>
      <c r="AG186" s="155"/>
      <c r="AH186" s="31"/>
      <c r="AI186" s="31"/>
      <c r="AJ186" s="31"/>
      <c r="AK186" s="31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</row>
    <row r="187" spans="1:346" s="26" customFormat="1">
      <c r="A187" s="21"/>
      <c r="B187" s="22"/>
      <c r="C187" s="4"/>
      <c r="D187" s="7"/>
      <c r="E187" s="7"/>
      <c r="F187" s="4"/>
      <c r="G187" s="4"/>
      <c r="H187" s="4"/>
      <c r="I187" s="77"/>
      <c r="J187" s="156"/>
      <c r="K187" s="77"/>
      <c r="L187" s="78"/>
      <c r="M187" s="78"/>
      <c r="N187" s="49"/>
      <c r="O187" s="49" t="e">
        <f>IF($E187="posto/hora extra",0,IF(OR(E187="posto/dia",E187="posto/dia líder"),VLOOKUP($C187,'Indicadores Financeiros'!$A$107:$J$119,8,FALSE)+VLOOKUP($C187,'Indicadores Financeiros'!$A$107:$J$119,9,FALSE)+VLOOKUP($C187,'Indicadores Financeiros'!$A$107:$J$119,10,FALSE),IF('Indicadores Financeiros'!$J$91=0,0,(VLOOKUP($C187,'Indicadores Financeiros'!$A$107:$J$119,9,FALSE)+VLOOKUP('Relatório Custo'!$C187,'Indicadores Financeiros'!$A$107:$J$119,10,FALSE)+('Indicadores Financeiros'!$J$87*'Relatório Custo'!$H187)))))</f>
        <v>#N/A</v>
      </c>
      <c r="P187" s="49"/>
      <c r="Q187" s="81"/>
      <c r="R187" s="81"/>
      <c r="S187" s="82"/>
      <c r="T187" s="47"/>
      <c r="U187" s="83"/>
      <c r="V187" s="24"/>
      <c r="W187" s="91"/>
      <c r="X187" s="20"/>
      <c r="Y187" s="114"/>
      <c r="Z187" s="43"/>
      <c r="AA187" s="41"/>
      <c r="AB187" s="25"/>
      <c r="AC187" s="23"/>
      <c r="AD187" s="23"/>
      <c r="AE187" s="154"/>
      <c r="AF187" s="155"/>
      <c r="AG187" s="155"/>
      <c r="AH187" s="31"/>
      <c r="AI187" s="31"/>
      <c r="AJ187" s="31"/>
      <c r="AK187" s="31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</row>
    <row r="188" spans="1:346" s="26" customFormat="1">
      <c r="A188" s="21"/>
      <c r="B188" s="22"/>
      <c r="C188" s="4"/>
      <c r="D188" s="7"/>
      <c r="E188" s="7"/>
      <c r="F188" s="4"/>
      <c r="G188" s="4"/>
      <c r="H188" s="4"/>
      <c r="I188" s="77"/>
      <c r="J188" s="156"/>
      <c r="K188" s="77"/>
      <c r="L188" s="78"/>
      <c r="M188" s="78"/>
      <c r="N188" s="49"/>
      <c r="O188" s="49" t="e">
        <f>IF($E188="posto/hora extra",0,IF(OR(E188="posto/dia",E188="posto/dia líder"),VLOOKUP($C188,'Indicadores Financeiros'!$A$107:$J$119,8,FALSE)+VLOOKUP($C188,'Indicadores Financeiros'!$A$107:$J$119,9,FALSE)+VLOOKUP($C188,'Indicadores Financeiros'!$A$107:$J$119,10,FALSE),IF('Indicadores Financeiros'!$J$91=0,0,(VLOOKUP($C188,'Indicadores Financeiros'!$A$107:$J$119,9,FALSE)+VLOOKUP('Relatório Custo'!$C188,'Indicadores Financeiros'!$A$107:$J$119,10,FALSE)+('Indicadores Financeiros'!$J$87*'Relatório Custo'!$H188)))))</f>
        <v>#N/A</v>
      </c>
      <c r="P188" s="49"/>
      <c r="Q188" s="81"/>
      <c r="R188" s="81"/>
      <c r="S188" s="82"/>
      <c r="T188" s="47"/>
      <c r="U188" s="83"/>
      <c r="V188" s="24"/>
      <c r="W188" s="91"/>
      <c r="X188" s="20"/>
      <c r="Y188" s="114"/>
      <c r="Z188" s="43"/>
      <c r="AA188" s="41"/>
      <c r="AB188" s="25"/>
      <c r="AC188" s="23"/>
      <c r="AD188" s="23"/>
      <c r="AE188" s="154"/>
      <c r="AF188" s="155"/>
      <c r="AG188" s="155"/>
      <c r="AH188" s="31"/>
      <c r="AI188" s="31"/>
      <c r="AJ188" s="31"/>
      <c r="AK188" s="31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</row>
    <row r="189" spans="1:346" s="26" customFormat="1">
      <c r="A189" s="21"/>
      <c r="B189" s="22"/>
      <c r="C189" s="4"/>
      <c r="D189" s="7"/>
      <c r="E189" s="7"/>
      <c r="F189" s="4"/>
      <c r="G189" s="4"/>
      <c r="H189" s="4"/>
      <c r="I189" s="77"/>
      <c r="J189" s="156"/>
      <c r="K189" s="77"/>
      <c r="L189" s="78"/>
      <c r="M189" s="78"/>
      <c r="N189" s="49"/>
      <c r="O189" s="49" t="e">
        <f>IF($E189="posto/hora extra",0,IF(OR(E189="posto/dia",E189="posto/dia líder"),VLOOKUP($C189,'Indicadores Financeiros'!$A$107:$J$119,8,FALSE)+VLOOKUP($C189,'Indicadores Financeiros'!$A$107:$J$119,9,FALSE)+VLOOKUP($C189,'Indicadores Financeiros'!$A$107:$J$119,10,FALSE),IF('Indicadores Financeiros'!$J$91=0,0,(VLOOKUP($C189,'Indicadores Financeiros'!$A$107:$J$119,9,FALSE)+VLOOKUP('Relatório Custo'!$C189,'Indicadores Financeiros'!$A$107:$J$119,10,FALSE)+('Indicadores Financeiros'!$J$87*'Relatório Custo'!$H189)))))</f>
        <v>#N/A</v>
      </c>
      <c r="P189" s="49"/>
      <c r="Q189" s="81"/>
      <c r="R189" s="81"/>
      <c r="S189" s="82"/>
      <c r="T189" s="47"/>
      <c r="U189" s="83"/>
      <c r="V189" s="24"/>
      <c r="W189" s="91"/>
      <c r="X189" s="20"/>
      <c r="Y189" s="114"/>
      <c r="Z189" s="43"/>
      <c r="AA189" s="41"/>
      <c r="AB189" s="25"/>
      <c r="AC189" s="23"/>
      <c r="AD189" s="23"/>
      <c r="AE189" s="154"/>
      <c r="AF189" s="155"/>
      <c r="AG189" s="155"/>
      <c r="AH189" s="31"/>
      <c r="AI189" s="31"/>
      <c r="AJ189" s="31"/>
      <c r="AK189" s="31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</row>
    <row r="190" spans="1:346" s="26" customFormat="1">
      <c r="A190" s="21"/>
      <c r="B190" s="22"/>
      <c r="C190" s="4"/>
      <c r="D190" s="7"/>
      <c r="E190" s="7"/>
      <c r="F190" s="4"/>
      <c r="G190" s="4"/>
      <c r="H190" s="4"/>
      <c r="I190" s="77"/>
      <c r="J190" s="156"/>
      <c r="K190" s="77"/>
      <c r="L190" s="78"/>
      <c r="M190" s="78"/>
      <c r="N190" s="49"/>
      <c r="O190" s="49" t="e">
        <f>IF($E190="posto/hora extra",0,IF(OR(E190="posto/dia",E190="posto/dia líder"),VLOOKUP($C190,'Indicadores Financeiros'!$A$107:$J$119,8,FALSE)+VLOOKUP($C190,'Indicadores Financeiros'!$A$107:$J$119,9,FALSE)+VLOOKUP($C190,'Indicadores Financeiros'!$A$107:$J$119,10,FALSE),IF('Indicadores Financeiros'!$J$91=0,0,(VLOOKUP($C190,'Indicadores Financeiros'!$A$107:$J$119,9,FALSE)+VLOOKUP('Relatório Custo'!$C190,'Indicadores Financeiros'!$A$107:$J$119,10,FALSE)+('Indicadores Financeiros'!$J$87*'Relatório Custo'!$H190)))))</f>
        <v>#N/A</v>
      </c>
      <c r="P190" s="49"/>
      <c r="Q190" s="81"/>
      <c r="R190" s="81"/>
      <c r="S190" s="82"/>
      <c r="T190" s="47"/>
      <c r="U190" s="83"/>
      <c r="V190" s="24"/>
      <c r="W190" s="91"/>
      <c r="X190" s="20"/>
      <c r="Y190" s="114"/>
      <c r="Z190" s="43"/>
      <c r="AA190" s="41"/>
      <c r="AB190" s="25"/>
      <c r="AC190" s="23"/>
      <c r="AD190" s="23"/>
      <c r="AE190" s="154"/>
      <c r="AF190" s="155"/>
      <c r="AG190" s="155"/>
      <c r="AH190" s="31"/>
      <c r="AI190" s="31"/>
      <c r="AJ190" s="31"/>
      <c r="AK190" s="31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</row>
    <row r="191" spans="1:346" s="26" customFormat="1">
      <c r="A191" s="21"/>
      <c r="B191" s="22"/>
      <c r="C191" s="4"/>
      <c r="D191" s="7"/>
      <c r="E191" s="7"/>
      <c r="F191" s="4"/>
      <c r="G191" s="4"/>
      <c r="H191" s="4"/>
      <c r="I191" s="77"/>
      <c r="J191" s="156"/>
      <c r="K191" s="77"/>
      <c r="L191" s="78"/>
      <c r="M191" s="78"/>
      <c r="N191" s="49"/>
      <c r="O191" s="49" t="e">
        <f>IF($E191="posto/hora extra",0,IF(OR(E191="posto/dia",E191="posto/dia líder"),VLOOKUP($C191,'Indicadores Financeiros'!$A$107:$J$119,8,FALSE)+VLOOKUP($C191,'Indicadores Financeiros'!$A$107:$J$119,9,FALSE)+VLOOKUP($C191,'Indicadores Financeiros'!$A$107:$J$119,10,FALSE),IF('Indicadores Financeiros'!$J$91=0,0,(VLOOKUP($C191,'Indicadores Financeiros'!$A$107:$J$119,9,FALSE)+VLOOKUP('Relatório Custo'!$C191,'Indicadores Financeiros'!$A$107:$J$119,10,FALSE)+('Indicadores Financeiros'!$J$87*'Relatório Custo'!$H191)))))</f>
        <v>#N/A</v>
      </c>
      <c r="P191" s="49"/>
      <c r="Q191" s="81"/>
      <c r="R191" s="81"/>
      <c r="S191" s="82"/>
      <c r="T191" s="47"/>
      <c r="U191" s="83"/>
      <c r="V191" s="24"/>
      <c r="W191" s="91"/>
      <c r="X191" s="20"/>
      <c r="Y191" s="114"/>
      <c r="Z191" s="43"/>
      <c r="AA191" s="41"/>
      <c r="AB191" s="25"/>
      <c r="AC191" s="23"/>
      <c r="AD191" s="23"/>
      <c r="AE191" s="154"/>
      <c r="AF191" s="155"/>
      <c r="AG191" s="155"/>
      <c r="AH191" s="31"/>
      <c r="AI191" s="31"/>
      <c r="AJ191" s="31"/>
      <c r="AK191" s="31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</row>
    <row r="192" spans="1:346" s="26" customFormat="1">
      <c r="A192" s="21"/>
      <c r="B192" s="22"/>
      <c r="C192" s="4"/>
      <c r="D192" s="7"/>
      <c r="E192" s="7"/>
      <c r="F192" s="4"/>
      <c r="G192" s="4"/>
      <c r="H192" s="4"/>
      <c r="I192" s="77"/>
      <c r="J192" s="156"/>
      <c r="K192" s="77"/>
      <c r="L192" s="78"/>
      <c r="M192" s="78"/>
      <c r="N192" s="49"/>
      <c r="O192" s="49" t="e">
        <f>IF($E192="posto/hora extra",0,IF(OR(E192="posto/dia",E192="posto/dia líder"),VLOOKUP($C192,'Indicadores Financeiros'!$A$107:$J$119,8,FALSE)+VLOOKUP($C192,'Indicadores Financeiros'!$A$107:$J$119,9,FALSE)+VLOOKUP($C192,'Indicadores Financeiros'!$A$107:$J$119,10,FALSE),IF('Indicadores Financeiros'!$J$91=0,0,(VLOOKUP($C192,'Indicadores Financeiros'!$A$107:$J$119,9,FALSE)+VLOOKUP('Relatório Custo'!$C192,'Indicadores Financeiros'!$A$107:$J$119,10,FALSE)+('Indicadores Financeiros'!$J$87*'Relatório Custo'!$H192)))))</f>
        <v>#N/A</v>
      </c>
      <c r="P192" s="49"/>
      <c r="Q192" s="81"/>
      <c r="R192" s="81"/>
      <c r="S192" s="82"/>
      <c r="T192" s="47"/>
      <c r="U192" s="83"/>
      <c r="V192" s="24"/>
      <c r="W192" s="91"/>
      <c r="X192" s="20"/>
      <c r="Y192" s="114"/>
      <c r="Z192" s="43"/>
      <c r="AA192" s="41"/>
      <c r="AB192" s="25"/>
      <c r="AC192" s="23"/>
      <c r="AD192" s="23"/>
      <c r="AE192" s="154"/>
      <c r="AF192" s="155"/>
      <c r="AG192" s="155"/>
      <c r="AH192" s="31"/>
      <c r="AI192" s="31"/>
      <c r="AJ192" s="31"/>
      <c r="AK192" s="31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</row>
    <row r="193" spans="1:346" s="26" customFormat="1">
      <c r="A193" s="21"/>
      <c r="B193" s="22"/>
      <c r="C193" s="4"/>
      <c r="D193" s="7"/>
      <c r="E193" s="7"/>
      <c r="F193" s="4"/>
      <c r="G193" s="4"/>
      <c r="H193" s="4"/>
      <c r="I193" s="77"/>
      <c r="J193" s="156"/>
      <c r="K193" s="77"/>
      <c r="L193" s="78"/>
      <c r="M193" s="78"/>
      <c r="N193" s="49"/>
      <c r="O193" s="49" t="e">
        <f>IF($E193="posto/hora extra",0,IF(OR(E193="posto/dia",E193="posto/dia líder"),VLOOKUP($C193,'Indicadores Financeiros'!$A$107:$J$119,8,FALSE)+VLOOKUP($C193,'Indicadores Financeiros'!$A$107:$J$119,9,FALSE)+VLOOKUP($C193,'Indicadores Financeiros'!$A$107:$J$119,10,FALSE),IF('Indicadores Financeiros'!$J$91=0,0,(VLOOKUP($C193,'Indicadores Financeiros'!$A$107:$J$119,9,FALSE)+VLOOKUP('Relatório Custo'!$C193,'Indicadores Financeiros'!$A$107:$J$119,10,FALSE)+('Indicadores Financeiros'!$J$87*'Relatório Custo'!$H193)))))</f>
        <v>#N/A</v>
      </c>
      <c r="P193" s="49"/>
      <c r="Q193" s="81"/>
      <c r="R193" s="81"/>
      <c r="S193" s="82"/>
      <c r="T193" s="47"/>
      <c r="U193" s="83"/>
      <c r="V193" s="24"/>
      <c r="W193" s="91"/>
      <c r="X193" s="20"/>
      <c r="Y193" s="114"/>
      <c r="Z193" s="43"/>
      <c r="AA193" s="41"/>
      <c r="AB193" s="25"/>
      <c r="AC193" s="23"/>
      <c r="AD193" s="23"/>
      <c r="AE193" s="154"/>
      <c r="AF193" s="155"/>
      <c r="AG193" s="155"/>
      <c r="AH193" s="31"/>
      <c r="AI193" s="31"/>
      <c r="AJ193" s="31"/>
      <c r="AK193" s="31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</row>
    <row r="194" spans="1:346" s="26" customFormat="1">
      <c r="A194" s="21"/>
      <c r="B194" s="22"/>
      <c r="C194" s="4"/>
      <c r="D194" s="7"/>
      <c r="E194" s="7"/>
      <c r="F194" s="4"/>
      <c r="G194" s="4"/>
      <c r="H194" s="4"/>
      <c r="I194" s="77"/>
      <c r="J194" s="156"/>
      <c r="K194" s="77"/>
      <c r="L194" s="78"/>
      <c r="M194" s="78"/>
      <c r="N194" s="49"/>
      <c r="O194" s="49" t="e">
        <f>IF($E194="posto/hora extra",0,IF(OR(E194="posto/dia",E194="posto/dia líder"),VLOOKUP($C194,'Indicadores Financeiros'!$A$107:$J$119,8,FALSE)+VLOOKUP($C194,'Indicadores Financeiros'!$A$107:$J$119,9,FALSE)+VLOOKUP($C194,'Indicadores Financeiros'!$A$107:$J$119,10,FALSE),IF('Indicadores Financeiros'!$J$91=0,0,(VLOOKUP($C194,'Indicadores Financeiros'!$A$107:$J$119,9,FALSE)+VLOOKUP('Relatório Custo'!$C194,'Indicadores Financeiros'!$A$107:$J$119,10,FALSE)+('Indicadores Financeiros'!$J$87*'Relatório Custo'!$H194)))))</f>
        <v>#N/A</v>
      </c>
      <c r="P194" s="49"/>
      <c r="Q194" s="81"/>
      <c r="R194" s="81"/>
      <c r="S194" s="82"/>
      <c r="T194" s="47"/>
      <c r="U194" s="83"/>
      <c r="V194" s="24"/>
      <c r="W194" s="91"/>
      <c r="X194" s="20"/>
      <c r="Y194" s="114"/>
      <c r="Z194" s="43"/>
      <c r="AA194" s="41"/>
      <c r="AB194" s="25"/>
      <c r="AC194" s="23"/>
      <c r="AD194" s="23"/>
      <c r="AE194" s="154"/>
      <c r="AF194" s="155"/>
      <c r="AG194" s="155"/>
      <c r="AH194" s="31"/>
      <c r="AI194" s="31"/>
      <c r="AJ194" s="31"/>
      <c r="AK194" s="31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</row>
    <row r="195" spans="1:346" s="26" customFormat="1">
      <c r="A195" s="21"/>
      <c r="B195" s="22"/>
      <c r="C195" s="4"/>
      <c r="D195" s="7"/>
      <c r="E195" s="7"/>
      <c r="F195" s="4"/>
      <c r="G195" s="4"/>
      <c r="H195" s="4"/>
      <c r="I195" s="77"/>
      <c r="J195" s="156"/>
      <c r="K195" s="77"/>
      <c r="L195" s="78"/>
      <c r="M195" s="78"/>
      <c r="N195" s="49"/>
      <c r="O195" s="49" t="e">
        <f>IF($E195="posto/hora extra",0,IF(OR(E195="posto/dia",E195="posto/dia líder"),VLOOKUP($C195,'Indicadores Financeiros'!$A$107:$J$119,8,FALSE)+VLOOKUP($C195,'Indicadores Financeiros'!$A$107:$J$119,9,FALSE)+VLOOKUP($C195,'Indicadores Financeiros'!$A$107:$J$119,10,FALSE),IF('Indicadores Financeiros'!$J$91=0,0,(VLOOKUP($C195,'Indicadores Financeiros'!$A$107:$J$119,9,FALSE)+VLOOKUP('Relatório Custo'!$C195,'Indicadores Financeiros'!$A$107:$J$119,10,FALSE)+('Indicadores Financeiros'!$J$87*'Relatório Custo'!$H195)))))</f>
        <v>#N/A</v>
      </c>
      <c r="P195" s="49"/>
      <c r="Q195" s="81"/>
      <c r="R195" s="81"/>
      <c r="S195" s="82"/>
      <c r="T195" s="47"/>
      <c r="U195" s="83"/>
      <c r="V195" s="24"/>
      <c r="W195" s="91"/>
      <c r="X195" s="20"/>
      <c r="Y195" s="114"/>
      <c r="Z195" s="43"/>
      <c r="AA195" s="41"/>
      <c r="AB195" s="25"/>
      <c r="AC195" s="23"/>
      <c r="AD195" s="23"/>
      <c r="AE195" s="154"/>
      <c r="AF195" s="155"/>
      <c r="AG195" s="155"/>
      <c r="AH195" s="31"/>
      <c r="AI195" s="31"/>
      <c r="AJ195" s="31"/>
      <c r="AK195" s="31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</row>
    <row r="196" spans="1:346" s="26" customFormat="1">
      <c r="A196" s="21"/>
      <c r="B196" s="22"/>
      <c r="C196" s="4"/>
      <c r="D196" s="7"/>
      <c r="E196" s="7"/>
      <c r="F196" s="4"/>
      <c r="G196" s="4"/>
      <c r="H196" s="4"/>
      <c r="I196" s="77"/>
      <c r="J196" s="156"/>
      <c r="K196" s="77"/>
      <c r="L196" s="78"/>
      <c r="M196" s="78"/>
      <c r="N196" s="49"/>
      <c r="O196" s="49" t="e">
        <f>IF($E196="posto/hora extra",0,IF(OR(E196="posto/dia",E196="posto/dia líder"),VLOOKUP($C196,'Indicadores Financeiros'!$A$107:$J$119,8,FALSE)+VLOOKUP($C196,'Indicadores Financeiros'!$A$107:$J$119,9,FALSE)+VLOOKUP($C196,'Indicadores Financeiros'!$A$107:$J$119,10,FALSE),IF('Indicadores Financeiros'!$J$91=0,0,(VLOOKUP($C196,'Indicadores Financeiros'!$A$107:$J$119,9,FALSE)+VLOOKUP('Relatório Custo'!$C196,'Indicadores Financeiros'!$A$107:$J$119,10,FALSE)+('Indicadores Financeiros'!$J$87*'Relatório Custo'!$H196)))))</f>
        <v>#N/A</v>
      </c>
      <c r="P196" s="49"/>
      <c r="Q196" s="81"/>
      <c r="R196" s="81"/>
      <c r="S196" s="82"/>
      <c r="T196" s="47"/>
      <c r="U196" s="83"/>
      <c r="V196" s="24"/>
      <c r="W196" s="91"/>
      <c r="X196" s="20"/>
      <c r="Y196" s="114"/>
      <c r="Z196" s="43"/>
      <c r="AA196" s="41"/>
      <c r="AB196" s="25"/>
      <c r="AC196" s="23"/>
      <c r="AD196" s="23"/>
      <c r="AE196" s="154"/>
      <c r="AF196" s="155"/>
      <c r="AG196" s="155"/>
      <c r="AH196" s="31"/>
      <c r="AI196" s="31"/>
      <c r="AJ196" s="31"/>
      <c r="AK196" s="31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</row>
    <row r="197" spans="1:346" s="26" customFormat="1">
      <c r="A197" s="21"/>
      <c r="B197" s="22"/>
      <c r="C197" s="4"/>
      <c r="D197" s="7"/>
      <c r="E197" s="7"/>
      <c r="F197" s="4"/>
      <c r="G197" s="4"/>
      <c r="H197" s="4"/>
      <c r="I197" s="77"/>
      <c r="J197" s="156"/>
      <c r="K197" s="77"/>
      <c r="L197" s="78"/>
      <c r="M197" s="78"/>
      <c r="N197" s="49"/>
      <c r="O197" s="49" t="e">
        <f>IF($E197="posto/hora extra",0,IF(OR(E197="posto/dia",E197="posto/dia líder"),VLOOKUP($C197,'Indicadores Financeiros'!$A$107:$J$119,8,FALSE)+VLOOKUP($C197,'Indicadores Financeiros'!$A$107:$J$119,9,FALSE)+VLOOKUP($C197,'Indicadores Financeiros'!$A$107:$J$119,10,FALSE),IF('Indicadores Financeiros'!$J$91=0,0,(VLOOKUP($C197,'Indicadores Financeiros'!$A$107:$J$119,9,FALSE)+VLOOKUP('Relatório Custo'!$C197,'Indicadores Financeiros'!$A$107:$J$119,10,FALSE)+('Indicadores Financeiros'!$J$87*'Relatório Custo'!$H197)))))</f>
        <v>#N/A</v>
      </c>
      <c r="P197" s="49"/>
      <c r="Q197" s="81"/>
      <c r="R197" s="81"/>
      <c r="S197" s="82"/>
      <c r="T197" s="47"/>
      <c r="U197" s="83"/>
      <c r="V197" s="24"/>
      <c r="W197" s="91"/>
      <c r="X197" s="20"/>
      <c r="Y197" s="114"/>
      <c r="Z197" s="43"/>
      <c r="AA197" s="41"/>
      <c r="AB197" s="25"/>
      <c r="AC197" s="23"/>
      <c r="AD197" s="23"/>
      <c r="AE197" s="154"/>
      <c r="AF197" s="155"/>
      <c r="AG197" s="155"/>
      <c r="AH197" s="31"/>
      <c r="AI197" s="31"/>
      <c r="AJ197" s="31"/>
      <c r="AK197" s="31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</row>
    <row r="198" spans="1:346" s="26" customFormat="1">
      <c r="A198" s="21"/>
      <c r="B198" s="22"/>
      <c r="C198" s="4"/>
      <c r="D198" s="7"/>
      <c r="E198" s="7"/>
      <c r="F198" s="4"/>
      <c r="G198" s="4"/>
      <c r="H198" s="4"/>
      <c r="I198" s="77"/>
      <c r="J198" s="156"/>
      <c r="K198" s="77"/>
      <c r="L198" s="78"/>
      <c r="M198" s="78"/>
      <c r="N198" s="49"/>
      <c r="O198" s="49" t="e">
        <f>IF($E198="posto/hora extra",0,IF(OR(E198="posto/dia",E198="posto/dia líder"),VLOOKUP($C198,'Indicadores Financeiros'!$A$107:$J$119,8,FALSE)+VLOOKUP($C198,'Indicadores Financeiros'!$A$107:$J$119,9,FALSE)+VLOOKUP($C198,'Indicadores Financeiros'!$A$107:$J$119,10,FALSE),IF('Indicadores Financeiros'!$J$91=0,0,(VLOOKUP($C198,'Indicadores Financeiros'!$A$107:$J$119,9,FALSE)+VLOOKUP('Relatório Custo'!$C198,'Indicadores Financeiros'!$A$107:$J$119,10,FALSE)+('Indicadores Financeiros'!$J$87*'Relatório Custo'!$H198)))))</f>
        <v>#N/A</v>
      </c>
      <c r="P198" s="49"/>
      <c r="Q198" s="81"/>
      <c r="R198" s="81"/>
      <c r="S198" s="82"/>
      <c r="T198" s="47"/>
      <c r="U198" s="83"/>
      <c r="V198" s="24"/>
      <c r="W198" s="91"/>
      <c r="X198" s="20"/>
      <c r="Y198" s="114"/>
      <c r="Z198" s="43"/>
      <c r="AA198" s="41"/>
      <c r="AB198" s="25"/>
      <c r="AC198" s="23"/>
      <c r="AD198" s="23"/>
      <c r="AE198" s="154"/>
      <c r="AF198" s="155"/>
      <c r="AG198" s="155"/>
      <c r="AH198" s="31"/>
      <c r="AI198" s="31"/>
      <c r="AJ198" s="31"/>
      <c r="AK198" s="31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</row>
    <row r="199" spans="1:346" s="26" customFormat="1">
      <c r="A199" s="21"/>
      <c r="B199" s="22"/>
      <c r="C199" s="4"/>
      <c r="D199" s="7"/>
      <c r="E199" s="7"/>
      <c r="F199" s="4"/>
      <c r="G199" s="4"/>
      <c r="H199" s="4"/>
      <c r="I199" s="77"/>
      <c r="J199" s="156"/>
      <c r="K199" s="77"/>
      <c r="L199" s="78"/>
      <c r="M199" s="78"/>
      <c r="N199" s="49"/>
      <c r="O199" s="49" t="e">
        <f>IF($E199="posto/hora extra",0,IF(OR(E199="posto/dia",E199="posto/dia líder"),VLOOKUP($C199,'Indicadores Financeiros'!$A$107:$J$119,8,FALSE)+VLOOKUP($C199,'Indicadores Financeiros'!$A$107:$J$119,9,FALSE)+VLOOKUP($C199,'Indicadores Financeiros'!$A$107:$J$119,10,FALSE),IF('Indicadores Financeiros'!$J$91=0,0,(VLOOKUP($C199,'Indicadores Financeiros'!$A$107:$J$119,9,FALSE)+VLOOKUP('Relatório Custo'!$C199,'Indicadores Financeiros'!$A$107:$J$119,10,FALSE)+('Indicadores Financeiros'!$J$87*'Relatório Custo'!$H199)))))</f>
        <v>#N/A</v>
      </c>
      <c r="P199" s="49"/>
      <c r="Q199" s="81"/>
      <c r="R199" s="81"/>
      <c r="S199" s="82"/>
      <c r="T199" s="47"/>
      <c r="U199" s="83"/>
      <c r="V199" s="24"/>
      <c r="W199" s="91"/>
      <c r="X199" s="20"/>
      <c r="Y199" s="114"/>
      <c r="Z199" s="43"/>
      <c r="AA199" s="41"/>
      <c r="AB199" s="25"/>
      <c r="AC199" s="23"/>
      <c r="AD199" s="23"/>
      <c r="AE199" s="154"/>
      <c r="AF199" s="155"/>
      <c r="AG199" s="155"/>
      <c r="AH199" s="31"/>
      <c r="AI199" s="31"/>
      <c r="AJ199" s="31"/>
      <c r="AK199" s="31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</row>
    <row r="200" spans="1:346" s="26" customFormat="1">
      <c r="A200" s="21"/>
      <c r="B200" s="22"/>
      <c r="C200" s="4"/>
      <c r="D200" s="7"/>
      <c r="E200" s="7"/>
      <c r="F200" s="4"/>
      <c r="G200" s="4"/>
      <c r="H200" s="4"/>
      <c r="I200" s="77"/>
      <c r="J200" s="156"/>
      <c r="K200" s="77"/>
      <c r="L200" s="78"/>
      <c r="M200" s="78"/>
      <c r="N200" s="49"/>
      <c r="O200" s="49" t="e">
        <f>IF($E200="posto/hora extra",0,IF(OR(E200="posto/dia",E200="posto/dia líder"),VLOOKUP($C200,'Indicadores Financeiros'!$A$107:$J$119,8,FALSE)+VLOOKUP($C200,'Indicadores Financeiros'!$A$107:$J$119,9,FALSE)+VLOOKUP($C200,'Indicadores Financeiros'!$A$107:$J$119,10,FALSE),IF('Indicadores Financeiros'!$J$91=0,0,(VLOOKUP($C200,'Indicadores Financeiros'!$A$107:$J$119,9,FALSE)+VLOOKUP('Relatório Custo'!$C200,'Indicadores Financeiros'!$A$107:$J$119,10,FALSE)+('Indicadores Financeiros'!$J$87*'Relatório Custo'!$H200)))))</f>
        <v>#N/A</v>
      </c>
      <c r="P200" s="49"/>
      <c r="Q200" s="81"/>
      <c r="R200" s="81"/>
      <c r="S200" s="82"/>
      <c r="T200" s="47"/>
      <c r="U200" s="83"/>
      <c r="V200" s="24"/>
      <c r="W200" s="91"/>
      <c r="X200" s="20"/>
      <c r="Y200" s="114"/>
      <c r="Z200" s="43"/>
      <c r="AA200" s="41"/>
      <c r="AB200" s="25"/>
      <c r="AC200" s="23"/>
      <c r="AD200" s="23"/>
      <c r="AE200" s="154"/>
      <c r="AF200" s="155"/>
      <c r="AG200" s="155"/>
      <c r="AH200" s="31"/>
      <c r="AI200" s="31"/>
      <c r="AJ200" s="31"/>
      <c r="AK200" s="31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</row>
    <row r="201" spans="1:346" s="26" customFormat="1">
      <c r="A201" s="21"/>
      <c r="B201" s="22"/>
      <c r="C201" s="4"/>
      <c r="D201" s="7"/>
      <c r="E201" s="7"/>
      <c r="F201" s="4"/>
      <c r="G201" s="4"/>
      <c r="H201" s="4"/>
      <c r="I201" s="77"/>
      <c r="J201" s="156"/>
      <c r="K201" s="77"/>
      <c r="L201" s="78"/>
      <c r="M201" s="78"/>
      <c r="N201" s="49"/>
      <c r="O201" s="49" t="e">
        <f>IF($E201="posto/hora extra",0,IF(OR(E201="posto/dia",E201="posto/dia líder"),VLOOKUP($C201,'Indicadores Financeiros'!$A$107:$J$119,8,FALSE)+VLOOKUP($C201,'Indicadores Financeiros'!$A$107:$J$119,9,FALSE)+VLOOKUP($C201,'Indicadores Financeiros'!$A$107:$J$119,10,FALSE),IF('Indicadores Financeiros'!$J$91=0,0,(VLOOKUP($C201,'Indicadores Financeiros'!$A$107:$J$119,9,FALSE)+VLOOKUP('Relatório Custo'!$C201,'Indicadores Financeiros'!$A$107:$J$119,10,FALSE)+('Indicadores Financeiros'!$J$87*'Relatório Custo'!$H201)))))</f>
        <v>#N/A</v>
      </c>
      <c r="P201" s="49"/>
      <c r="Q201" s="81"/>
      <c r="R201" s="81"/>
      <c r="S201" s="82"/>
      <c r="T201" s="47"/>
      <c r="U201" s="83"/>
      <c r="V201" s="24"/>
      <c r="W201" s="91"/>
      <c r="X201" s="20"/>
      <c r="Y201" s="114"/>
      <c r="Z201" s="43"/>
      <c r="AA201" s="41"/>
      <c r="AB201" s="25"/>
      <c r="AC201" s="23"/>
      <c r="AD201" s="23"/>
      <c r="AE201" s="154"/>
      <c r="AF201" s="155"/>
      <c r="AG201" s="155"/>
      <c r="AH201" s="31"/>
      <c r="AI201" s="31"/>
      <c r="AJ201" s="31"/>
      <c r="AK201" s="31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</row>
    <row r="202" spans="1:346" s="26" customFormat="1">
      <c r="A202" s="21"/>
      <c r="B202" s="22"/>
      <c r="C202" s="4"/>
      <c r="D202" s="7"/>
      <c r="E202" s="7"/>
      <c r="F202" s="4"/>
      <c r="G202" s="4"/>
      <c r="H202" s="4"/>
      <c r="I202" s="77"/>
      <c r="J202" s="156"/>
      <c r="K202" s="77"/>
      <c r="L202" s="78"/>
      <c r="M202" s="78"/>
      <c r="N202" s="49"/>
      <c r="O202" s="49" t="e">
        <f>IF($E202="posto/hora extra",0,IF(OR(E202="posto/dia",E202="posto/dia líder"),VLOOKUP($C202,'Indicadores Financeiros'!$A$107:$J$119,8,FALSE)+VLOOKUP($C202,'Indicadores Financeiros'!$A$107:$J$119,9,FALSE)+VLOOKUP($C202,'Indicadores Financeiros'!$A$107:$J$119,10,FALSE),IF('Indicadores Financeiros'!$J$91=0,0,(VLOOKUP($C202,'Indicadores Financeiros'!$A$107:$J$119,9,FALSE)+VLOOKUP('Relatório Custo'!$C202,'Indicadores Financeiros'!$A$107:$J$119,10,FALSE)+('Indicadores Financeiros'!$J$87*'Relatório Custo'!$H202)))))</f>
        <v>#N/A</v>
      </c>
      <c r="P202" s="49"/>
      <c r="Q202" s="81"/>
      <c r="R202" s="81"/>
      <c r="S202" s="82"/>
      <c r="T202" s="47"/>
      <c r="U202" s="83"/>
      <c r="V202" s="24"/>
      <c r="W202" s="91"/>
      <c r="X202" s="20"/>
      <c r="Y202" s="114"/>
      <c r="Z202" s="43"/>
      <c r="AA202" s="41"/>
      <c r="AB202" s="25"/>
      <c r="AC202" s="23"/>
      <c r="AD202" s="23"/>
      <c r="AE202" s="154"/>
      <c r="AF202" s="155"/>
      <c r="AG202" s="155"/>
      <c r="AH202" s="31"/>
      <c r="AI202" s="31"/>
      <c r="AJ202" s="31"/>
      <c r="AK202" s="31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</row>
    <row r="203" spans="1:346" s="26" customFormat="1">
      <c r="A203" s="21"/>
      <c r="B203" s="22"/>
      <c r="C203" s="4"/>
      <c r="D203" s="7"/>
      <c r="E203" s="7"/>
      <c r="F203" s="4"/>
      <c r="G203" s="4"/>
      <c r="H203" s="4"/>
      <c r="I203" s="77"/>
      <c r="J203" s="156"/>
      <c r="K203" s="77"/>
      <c r="L203" s="78"/>
      <c r="M203" s="78"/>
      <c r="N203" s="49"/>
      <c r="O203" s="49" t="e">
        <f>IF($E203="posto/hora extra",0,IF(OR(E203="posto/dia",E203="posto/dia líder"),VLOOKUP($C203,'Indicadores Financeiros'!$A$107:$J$119,8,FALSE)+VLOOKUP($C203,'Indicadores Financeiros'!$A$107:$J$119,9,FALSE)+VLOOKUP($C203,'Indicadores Financeiros'!$A$107:$J$119,10,FALSE),IF('Indicadores Financeiros'!$J$91=0,0,(VLOOKUP($C203,'Indicadores Financeiros'!$A$107:$J$119,9,FALSE)+VLOOKUP('Relatório Custo'!$C203,'Indicadores Financeiros'!$A$107:$J$119,10,FALSE)+('Indicadores Financeiros'!$J$87*'Relatório Custo'!$H203)))))</f>
        <v>#N/A</v>
      </c>
      <c r="P203" s="49"/>
      <c r="Q203" s="81"/>
      <c r="R203" s="81"/>
      <c r="S203" s="82"/>
      <c r="T203" s="47"/>
      <c r="U203" s="83"/>
      <c r="V203" s="24"/>
      <c r="W203" s="91"/>
      <c r="X203" s="20"/>
      <c r="Y203" s="114"/>
      <c r="Z203" s="43"/>
      <c r="AA203" s="41"/>
      <c r="AB203" s="25"/>
      <c r="AC203" s="23"/>
      <c r="AD203" s="23"/>
      <c r="AE203" s="154"/>
      <c r="AF203" s="155"/>
      <c r="AG203" s="155"/>
      <c r="AH203" s="31"/>
      <c r="AI203" s="31"/>
      <c r="AJ203" s="31"/>
      <c r="AK203" s="31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</row>
    <row r="204" spans="1:346" s="26" customFormat="1">
      <c r="A204" s="21"/>
      <c r="B204" s="22"/>
      <c r="C204" s="4"/>
      <c r="D204" s="7"/>
      <c r="E204" s="7"/>
      <c r="F204" s="4"/>
      <c r="G204" s="4"/>
      <c r="H204" s="4"/>
      <c r="I204" s="77"/>
      <c r="J204" s="156"/>
      <c r="K204" s="77"/>
      <c r="L204" s="78"/>
      <c r="M204" s="78"/>
      <c r="N204" s="49"/>
      <c r="O204" s="49" t="e">
        <f>IF($E204="posto/hora extra",0,IF(OR(E204="posto/dia",E204="posto/dia líder"),VLOOKUP($C204,'Indicadores Financeiros'!$A$107:$J$119,8,FALSE)+VLOOKUP($C204,'Indicadores Financeiros'!$A$107:$J$119,9,FALSE)+VLOOKUP($C204,'Indicadores Financeiros'!$A$107:$J$119,10,FALSE),IF('Indicadores Financeiros'!$J$91=0,0,(VLOOKUP($C204,'Indicadores Financeiros'!$A$107:$J$119,9,FALSE)+VLOOKUP('Relatório Custo'!$C204,'Indicadores Financeiros'!$A$107:$J$119,10,FALSE)+('Indicadores Financeiros'!$J$87*'Relatório Custo'!$H204)))))</f>
        <v>#N/A</v>
      </c>
      <c r="P204" s="49"/>
      <c r="Q204" s="81"/>
      <c r="R204" s="81"/>
      <c r="S204" s="82"/>
      <c r="T204" s="47"/>
      <c r="U204" s="83"/>
      <c r="V204" s="24"/>
      <c r="W204" s="91"/>
      <c r="X204" s="20"/>
      <c r="Y204" s="114"/>
      <c r="Z204" s="43"/>
      <c r="AA204" s="41"/>
      <c r="AB204" s="25"/>
      <c r="AC204" s="23"/>
      <c r="AD204" s="23"/>
      <c r="AE204" s="154"/>
      <c r="AF204" s="155"/>
      <c r="AG204" s="155"/>
      <c r="AH204" s="31"/>
      <c r="AI204" s="31"/>
      <c r="AJ204" s="31"/>
      <c r="AK204" s="31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</row>
    <row r="205" spans="1:346" s="26" customFormat="1">
      <c r="A205" s="21"/>
      <c r="B205" s="22"/>
      <c r="C205" s="4"/>
      <c r="D205" s="7"/>
      <c r="E205" s="7"/>
      <c r="F205" s="4"/>
      <c r="G205" s="4"/>
      <c r="H205" s="4"/>
      <c r="I205" s="77"/>
      <c r="J205" s="156"/>
      <c r="K205" s="77"/>
      <c r="L205" s="78"/>
      <c r="M205" s="78"/>
      <c r="N205" s="49"/>
      <c r="O205" s="49" t="e">
        <f>IF($E205="posto/hora extra",0,IF(OR(E205="posto/dia",E205="posto/dia líder"),VLOOKUP($C205,'Indicadores Financeiros'!$A$107:$J$119,8,FALSE)+VLOOKUP($C205,'Indicadores Financeiros'!$A$107:$J$119,9,FALSE)+VLOOKUP($C205,'Indicadores Financeiros'!$A$107:$J$119,10,FALSE),IF('Indicadores Financeiros'!$J$91=0,0,(VLOOKUP($C205,'Indicadores Financeiros'!$A$107:$J$119,9,FALSE)+VLOOKUP('Relatório Custo'!$C205,'Indicadores Financeiros'!$A$107:$J$119,10,FALSE)+('Indicadores Financeiros'!$J$87*'Relatório Custo'!$H205)))))</f>
        <v>#N/A</v>
      </c>
      <c r="P205" s="49"/>
      <c r="Q205" s="81"/>
      <c r="R205" s="81"/>
      <c r="S205" s="82"/>
      <c r="T205" s="47"/>
      <c r="U205" s="83"/>
      <c r="V205" s="24"/>
      <c r="W205" s="91"/>
      <c r="X205" s="20"/>
      <c r="Y205" s="114"/>
      <c r="Z205" s="43"/>
      <c r="AA205" s="41"/>
      <c r="AB205" s="25"/>
      <c r="AC205" s="23"/>
      <c r="AD205" s="23"/>
      <c r="AE205" s="154"/>
      <c r="AF205" s="155"/>
      <c r="AG205" s="155"/>
      <c r="AH205" s="31"/>
      <c r="AI205" s="31"/>
      <c r="AJ205" s="31"/>
      <c r="AK205" s="31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</row>
    <row r="206" spans="1:346" s="26" customFormat="1">
      <c r="A206" s="21"/>
      <c r="B206" s="22"/>
      <c r="C206" s="4"/>
      <c r="D206" s="7"/>
      <c r="E206" s="7"/>
      <c r="F206" s="4"/>
      <c r="G206" s="4"/>
      <c r="H206" s="4"/>
      <c r="I206" s="77"/>
      <c r="J206" s="156"/>
      <c r="K206" s="77"/>
      <c r="L206" s="78"/>
      <c r="M206" s="78"/>
      <c r="N206" s="49"/>
      <c r="O206" s="49" t="e">
        <f>IF($E206="posto/hora extra",0,IF(OR(E206="posto/dia",E206="posto/dia líder"),VLOOKUP($C206,'Indicadores Financeiros'!$A$107:$J$119,8,FALSE)+VLOOKUP($C206,'Indicadores Financeiros'!$A$107:$J$119,9,FALSE)+VLOOKUP($C206,'Indicadores Financeiros'!$A$107:$J$119,10,FALSE),IF('Indicadores Financeiros'!$J$91=0,0,(VLOOKUP($C206,'Indicadores Financeiros'!$A$107:$J$119,9,FALSE)+VLOOKUP('Relatório Custo'!$C206,'Indicadores Financeiros'!$A$107:$J$119,10,FALSE)+('Indicadores Financeiros'!$J$87*'Relatório Custo'!$H206)))))</f>
        <v>#N/A</v>
      </c>
      <c r="P206" s="49"/>
      <c r="Q206" s="81"/>
      <c r="R206" s="81"/>
      <c r="S206" s="82"/>
      <c r="T206" s="47"/>
      <c r="U206" s="83"/>
      <c r="V206" s="24"/>
      <c r="W206" s="91"/>
      <c r="X206" s="20"/>
      <c r="Y206" s="114"/>
      <c r="Z206" s="43"/>
      <c r="AA206" s="41"/>
      <c r="AB206" s="25"/>
      <c r="AC206" s="23"/>
      <c r="AD206" s="23"/>
      <c r="AE206" s="154"/>
      <c r="AF206" s="155"/>
      <c r="AG206" s="155"/>
      <c r="AH206" s="31"/>
      <c r="AI206" s="31"/>
      <c r="AJ206" s="31"/>
      <c r="AK206" s="31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</row>
    <row r="207" spans="1:346" s="26" customFormat="1">
      <c r="A207" s="21"/>
      <c r="B207" s="22"/>
      <c r="C207" s="4"/>
      <c r="D207" s="7"/>
      <c r="E207" s="7"/>
      <c r="F207" s="4"/>
      <c r="G207" s="4"/>
      <c r="H207" s="4"/>
      <c r="I207" s="77"/>
      <c r="J207" s="156"/>
      <c r="K207" s="77"/>
      <c r="L207" s="78"/>
      <c r="M207" s="78"/>
      <c r="N207" s="49"/>
      <c r="O207" s="49" t="e">
        <f>IF($E207="posto/hora extra",0,IF(OR(E207="posto/dia",E207="posto/dia líder"),VLOOKUP($C207,'Indicadores Financeiros'!$A$107:$J$119,8,FALSE)+VLOOKUP($C207,'Indicadores Financeiros'!$A$107:$J$119,9,FALSE)+VLOOKUP($C207,'Indicadores Financeiros'!$A$107:$J$119,10,FALSE),IF('Indicadores Financeiros'!$J$91=0,0,(VLOOKUP($C207,'Indicadores Financeiros'!$A$107:$J$119,9,FALSE)+VLOOKUP('Relatório Custo'!$C207,'Indicadores Financeiros'!$A$107:$J$119,10,FALSE)+('Indicadores Financeiros'!$J$87*'Relatório Custo'!$H207)))))</f>
        <v>#N/A</v>
      </c>
      <c r="P207" s="49"/>
      <c r="Q207" s="81"/>
      <c r="R207" s="81"/>
      <c r="S207" s="82"/>
      <c r="T207" s="47"/>
      <c r="U207" s="83"/>
      <c r="V207" s="24"/>
      <c r="W207" s="91"/>
      <c r="X207" s="20"/>
      <c r="Y207" s="114"/>
      <c r="Z207" s="43"/>
      <c r="AA207" s="41"/>
      <c r="AB207" s="25"/>
      <c r="AC207" s="23"/>
      <c r="AD207" s="23"/>
      <c r="AE207" s="154"/>
      <c r="AF207" s="155"/>
      <c r="AG207" s="155"/>
      <c r="AH207" s="31"/>
      <c r="AI207" s="31"/>
      <c r="AJ207" s="31"/>
      <c r="AK207" s="31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  <c r="LT207" s="25"/>
      <c r="LU207" s="25"/>
      <c r="LV207" s="25"/>
      <c r="LW207" s="25"/>
      <c r="LX207" s="25"/>
      <c r="LY207" s="25"/>
      <c r="LZ207" s="25"/>
      <c r="MA207" s="25"/>
      <c r="MB207" s="25"/>
      <c r="MC207" s="25"/>
      <c r="MD207" s="25"/>
      <c r="ME207" s="25"/>
      <c r="MF207" s="25"/>
      <c r="MG207" s="25"/>
      <c r="MH207" s="25"/>
    </row>
    <row r="208" spans="1:346" s="26" customFormat="1">
      <c r="A208" s="21"/>
      <c r="B208" s="22"/>
      <c r="C208" s="4"/>
      <c r="D208" s="7"/>
      <c r="E208" s="7"/>
      <c r="F208" s="4"/>
      <c r="G208" s="4"/>
      <c r="H208" s="4"/>
      <c r="I208" s="77"/>
      <c r="J208" s="156"/>
      <c r="K208" s="77"/>
      <c r="L208" s="78"/>
      <c r="M208" s="78"/>
      <c r="N208" s="49"/>
      <c r="O208" s="49" t="e">
        <f>IF($E208="posto/hora extra",0,IF(OR(E208="posto/dia",E208="posto/dia líder"),VLOOKUP($C208,'Indicadores Financeiros'!$A$107:$J$119,8,FALSE)+VLOOKUP($C208,'Indicadores Financeiros'!$A$107:$J$119,9,FALSE)+VLOOKUP($C208,'Indicadores Financeiros'!$A$107:$J$119,10,FALSE),IF('Indicadores Financeiros'!$J$91=0,0,(VLOOKUP($C208,'Indicadores Financeiros'!$A$107:$J$119,9,FALSE)+VLOOKUP('Relatório Custo'!$C208,'Indicadores Financeiros'!$A$107:$J$119,10,FALSE)+('Indicadores Financeiros'!$J$87*'Relatório Custo'!$H208)))))</f>
        <v>#N/A</v>
      </c>
      <c r="P208" s="49"/>
      <c r="Q208" s="81"/>
      <c r="R208" s="81"/>
      <c r="S208" s="82"/>
      <c r="T208" s="47"/>
      <c r="U208" s="83"/>
      <c r="V208" s="24"/>
      <c r="W208" s="91"/>
      <c r="X208" s="20"/>
      <c r="Y208" s="114"/>
      <c r="Z208" s="43"/>
      <c r="AA208" s="41"/>
      <c r="AB208" s="25"/>
      <c r="AC208" s="23"/>
      <c r="AD208" s="23"/>
      <c r="AE208" s="154"/>
      <c r="AF208" s="155"/>
      <c r="AG208" s="155"/>
      <c r="AH208" s="31"/>
      <c r="AI208" s="31"/>
      <c r="AJ208" s="31"/>
      <c r="AK208" s="31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</row>
    <row r="209" spans="1:346" s="26" customFormat="1">
      <c r="A209" s="21"/>
      <c r="B209" s="22"/>
      <c r="C209" s="4"/>
      <c r="D209" s="7"/>
      <c r="E209" s="7"/>
      <c r="F209" s="4"/>
      <c r="G209" s="4"/>
      <c r="H209" s="4"/>
      <c r="I209" s="77"/>
      <c r="J209" s="156"/>
      <c r="K209" s="77"/>
      <c r="L209" s="78"/>
      <c r="M209" s="78"/>
      <c r="N209" s="49"/>
      <c r="O209" s="49" t="e">
        <f>IF($E209="posto/hora extra",0,IF(OR(E209="posto/dia",E209="posto/dia líder"),VLOOKUP($C209,'Indicadores Financeiros'!$A$107:$J$119,8,FALSE)+VLOOKUP($C209,'Indicadores Financeiros'!$A$107:$J$119,9,FALSE)+VLOOKUP($C209,'Indicadores Financeiros'!$A$107:$J$119,10,FALSE),IF('Indicadores Financeiros'!$J$91=0,0,(VLOOKUP($C209,'Indicadores Financeiros'!$A$107:$J$119,9,FALSE)+VLOOKUP('Relatório Custo'!$C209,'Indicadores Financeiros'!$A$107:$J$119,10,FALSE)+('Indicadores Financeiros'!$J$87*'Relatório Custo'!$H209)))))</f>
        <v>#N/A</v>
      </c>
      <c r="P209" s="49"/>
      <c r="Q209" s="81"/>
      <c r="R209" s="81"/>
      <c r="S209" s="82"/>
      <c r="T209" s="47"/>
      <c r="U209" s="83"/>
      <c r="V209" s="24"/>
      <c r="W209" s="91"/>
      <c r="X209" s="20"/>
      <c r="Y209" s="114"/>
      <c r="Z209" s="43"/>
      <c r="AA209" s="41"/>
      <c r="AB209" s="25"/>
      <c r="AC209" s="23"/>
      <c r="AD209" s="23"/>
      <c r="AE209" s="154"/>
      <c r="AF209" s="155"/>
      <c r="AG209" s="155"/>
      <c r="AH209" s="31"/>
      <c r="AI209" s="31"/>
      <c r="AJ209" s="31"/>
      <c r="AK209" s="31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  <c r="LT209" s="25"/>
      <c r="LU209" s="25"/>
      <c r="LV209" s="25"/>
      <c r="LW209" s="25"/>
      <c r="LX209" s="25"/>
      <c r="LY209" s="25"/>
      <c r="LZ209" s="25"/>
      <c r="MA209" s="25"/>
      <c r="MB209" s="25"/>
      <c r="MC209" s="25"/>
      <c r="MD209" s="25"/>
      <c r="ME209" s="25"/>
      <c r="MF209" s="25"/>
      <c r="MG209" s="25"/>
      <c r="MH209" s="25"/>
    </row>
    <row r="210" spans="1:346" s="26" customFormat="1">
      <c r="A210" s="21"/>
      <c r="B210" s="22"/>
      <c r="C210" s="4"/>
      <c r="D210" s="7"/>
      <c r="E210" s="7"/>
      <c r="F210" s="4"/>
      <c r="G210" s="4"/>
      <c r="H210" s="4"/>
      <c r="I210" s="77"/>
      <c r="J210" s="156"/>
      <c r="K210" s="77"/>
      <c r="L210" s="78"/>
      <c r="M210" s="78"/>
      <c r="N210" s="49"/>
      <c r="O210" s="49" t="e">
        <f>IF($E210="posto/hora extra",0,IF(OR(E210="posto/dia",E210="posto/dia líder"),VLOOKUP($C210,'Indicadores Financeiros'!$A$107:$J$119,8,FALSE)+VLOOKUP($C210,'Indicadores Financeiros'!$A$107:$J$119,9,FALSE)+VLOOKUP($C210,'Indicadores Financeiros'!$A$107:$J$119,10,FALSE),IF('Indicadores Financeiros'!$J$91=0,0,(VLOOKUP($C210,'Indicadores Financeiros'!$A$107:$J$119,9,FALSE)+VLOOKUP('Relatório Custo'!$C210,'Indicadores Financeiros'!$A$107:$J$119,10,FALSE)+('Indicadores Financeiros'!$J$87*'Relatório Custo'!$H210)))))</f>
        <v>#N/A</v>
      </c>
      <c r="P210" s="49"/>
      <c r="Q210" s="81"/>
      <c r="R210" s="81"/>
      <c r="S210" s="82"/>
      <c r="T210" s="47"/>
      <c r="U210" s="83"/>
      <c r="V210" s="24"/>
      <c r="W210" s="91"/>
      <c r="X210" s="20"/>
      <c r="Y210" s="114"/>
      <c r="Z210" s="43"/>
      <c r="AA210" s="41"/>
      <c r="AB210" s="25"/>
      <c r="AC210" s="23"/>
      <c r="AD210" s="23"/>
      <c r="AE210" s="154"/>
      <c r="AF210" s="155"/>
      <c r="AG210" s="155"/>
      <c r="AH210" s="31"/>
      <c r="AI210" s="31"/>
      <c r="AJ210" s="31"/>
      <c r="AK210" s="31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  <c r="IW210" s="25"/>
      <c r="IX210" s="25"/>
      <c r="IY210" s="25"/>
      <c r="IZ210" s="25"/>
      <c r="JA210" s="25"/>
      <c r="JB210" s="25"/>
      <c r="JC210" s="25"/>
      <c r="JD210" s="25"/>
      <c r="JE210" s="25"/>
      <c r="JF210" s="25"/>
      <c r="JG210" s="25"/>
      <c r="JH210" s="25"/>
      <c r="JI210" s="25"/>
      <c r="JJ210" s="25"/>
      <c r="JK210" s="25"/>
      <c r="JL210" s="25"/>
      <c r="JM210" s="25"/>
      <c r="JN210" s="25"/>
      <c r="JO210" s="25"/>
      <c r="JP210" s="25"/>
      <c r="JQ210" s="25"/>
      <c r="JR210" s="25"/>
      <c r="JS210" s="25"/>
      <c r="JT210" s="25"/>
      <c r="JU210" s="25"/>
      <c r="JV210" s="25"/>
      <c r="JW210" s="25"/>
      <c r="JX210" s="25"/>
      <c r="JY210" s="25"/>
      <c r="JZ210" s="25"/>
      <c r="KA210" s="25"/>
      <c r="KB210" s="25"/>
      <c r="KC210" s="25"/>
      <c r="KD210" s="25"/>
      <c r="KE210" s="25"/>
      <c r="KF210" s="25"/>
      <c r="KG210" s="25"/>
      <c r="KH210" s="25"/>
      <c r="KI210" s="25"/>
      <c r="KJ210" s="25"/>
      <c r="KK210" s="25"/>
      <c r="KL210" s="25"/>
      <c r="KM210" s="25"/>
      <c r="KN210" s="25"/>
      <c r="KO210" s="25"/>
      <c r="KP210" s="25"/>
      <c r="KQ210" s="25"/>
      <c r="KR210" s="25"/>
      <c r="KS210" s="25"/>
      <c r="KT210" s="25"/>
      <c r="KU210" s="25"/>
      <c r="KV210" s="25"/>
      <c r="KW210" s="25"/>
      <c r="KX210" s="25"/>
      <c r="KY210" s="25"/>
      <c r="KZ210" s="25"/>
      <c r="LA210" s="25"/>
      <c r="LB210" s="25"/>
      <c r="LC210" s="25"/>
      <c r="LD210" s="25"/>
      <c r="LE210" s="25"/>
      <c r="LF210" s="25"/>
      <c r="LG210" s="25"/>
      <c r="LH210" s="25"/>
      <c r="LI210" s="25"/>
      <c r="LJ210" s="25"/>
      <c r="LK210" s="25"/>
      <c r="LL210" s="25"/>
      <c r="LM210" s="25"/>
      <c r="LN210" s="25"/>
      <c r="LO210" s="25"/>
      <c r="LP210" s="25"/>
      <c r="LQ210" s="25"/>
      <c r="LR210" s="25"/>
      <c r="LS210" s="25"/>
      <c r="LT210" s="25"/>
      <c r="LU210" s="25"/>
      <c r="LV210" s="25"/>
      <c r="LW210" s="25"/>
      <c r="LX210" s="25"/>
      <c r="LY210" s="25"/>
      <c r="LZ210" s="25"/>
      <c r="MA210" s="25"/>
      <c r="MB210" s="25"/>
      <c r="MC210" s="25"/>
      <c r="MD210" s="25"/>
      <c r="ME210" s="25"/>
      <c r="MF210" s="25"/>
      <c r="MG210" s="25"/>
      <c r="MH210" s="25"/>
    </row>
    <row r="211" spans="1:346" s="26" customFormat="1">
      <c r="A211" s="21"/>
      <c r="B211" s="22"/>
      <c r="C211" s="4"/>
      <c r="D211" s="7"/>
      <c r="E211" s="7"/>
      <c r="F211" s="4"/>
      <c r="G211" s="4"/>
      <c r="H211" s="4"/>
      <c r="I211" s="77"/>
      <c r="J211" s="156"/>
      <c r="K211" s="77"/>
      <c r="L211" s="78"/>
      <c r="M211" s="78"/>
      <c r="N211" s="49"/>
      <c r="O211" s="49" t="e">
        <f>IF($E211="posto/hora extra",0,IF(OR(E211="posto/dia",E211="posto/dia líder"),VLOOKUP($C211,'Indicadores Financeiros'!$A$107:$J$119,8,FALSE)+VLOOKUP($C211,'Indicadores Financeiros'!$A$107:$J$119,9,FALSE)+VLOOKUP($C211,'Indicadores Financeiros'!$A$107:$J$119,10,FALSE),IF('Indicadores Financeiros'!$J$91=0,0,(VLOOKUP($C211,'Indicadores Financeiros'!$A$107:$J$119,9,FALSE)+VLOOKUP('Relatório Custo'!$C211,'Indicadores Financeiros'!$A$107:$J$119,10,FALSE)+('Indicadores Financeiros'!$J$87*'Relatório Custo'!$H211)))))</f>
        <v>#N/A</v>
      </c>
      <c r="P211" s="49"/>
      <c r="Q211" s="81"/>
      <c r="R211" s="81"/>
      <c r="S211" s="82"/>
      <c r="T211" s="47"/>
      <c r="U211" s="83"/>
      <c r="V211" s="24"/>
      <c r="W211" s="91"/>
      <c r="X211" s="20"/>
      <c r="Y211" s="114"/>
      <c r="Z211" s="43"/>
      <c r="AA211" s="41"/>
      <c r="AB211" s="25"/>
      <c r="AC211" s="23"/>
      <c r="AD211" s="23"/>
      <c r="AE211" s="154"/>
      <c r="AF211" s="155"/>
      <c r="AG211" s="155"/>
      <c r="AH211" s="31"/>
      <c r="AI211" s="31"/>
      <c r="AJ211" s="31"/>
      <c r="AK211" s="31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/>
      <c r="KK211" s="25"/>
      <c r="KL211" s="25"/>
      <c r="KM211" s="25"/>
      <c r="KN211" s="25"/>
      <c r="KO211" s="25"/>
      <c r="KP211" s="25"/>
      <c r="KQ211" s="25"/>
      <c r="KR211" s="25"/>
      <c r="KS211" s="25"/>
      <c r="KT211" s="25"/>
      <c r="KU211" s="25"/>
      <c r="KV211" s="25"/>
      <c r="KW211" s="25"/>
      <c r="KX211" s="25"/>
      <c r="KY211" s="25"/>
      <c r="KZ211" s="25"/>
      <c r="LA211" s="25"/>
      <c r="LB211" s="25"/>
      <c r="LC211" s="25"/>
      <c r="LD211" s="25"/>
      <c r="LE211" s="25"/>
      <c r="LF211" s="25"/>
      <c r="LG211" s="25"/>
      <c r="LH211" s="25"/>
      <c r="LI211" s="25"/>
      <c r="LJ211" s="25"/>
      <c r="LK211" s="25"/>
      <c r="LL211" s="25"/>
      <c r="LM211" s="25"/>
      <c r="LN211" s="25"/>
      <c r="LO211" s="25"/>
      <c r="LP211" s="25"/>
      <c r="LQ211" s="25"/>
      <c r="LR211" s="25"/>
      <c r="LS211" s="25"/>
      <c r="LT211" s="25"/>
      <c r="LU211" s="25"/>
      <c r="LV211" s="25"/>
      <c r="LW211" s="25"/>
      <c r="LX211" s="25"/>
      <c r="LY211" s="25"/>
      <c r="LZ211" s="25"/>
      <c r="MA211" s="25"/>
      <c r="MB211" s="25"/>
      <c r="MC211" s="25"/>
      <c r="MD211" s="25"/>
      <c r="ME211" s="25"/>
      <c r="MF211" s="25"/>
      <c r="MG211" s="25"/>
      <c r="MH211" s="25"/>
    </row>
    <row r="212" spans="1:346" s="26" customFormat="1">
      <c r="A212" s="21"/>
      <c r="B212" s="22"/>
      <c r="C212" s="4"/>
      <c r="D212" s="7"/>
      <c r="E212" s="7"/>
      <c r="F212" s="4"/>
      <c r="G212" s="4"/>
      <c r="H212" s="4"/>
      <c r="I212" s="77"/>
      <c r="J212" s="156"/>
      <c r="K212" s="77"/>
      <c r="L212" s="78"/>
      <c r="M212" s="78"/>
      <c r="N212" s="49"/>
      <c r="O212" s="49" t="e">
        <f>IF($E212="posto/hora extra",0,IF(OR(E212="posto/dia",E212="posto/dia líder"),VLOOKUP($C212,'Indicadores Financeiros'!$A$107:$J$119,8,FALSE)+VLOOKUP($C212,'Indicadores Financeiros'!$A$107:$J$119,9,FALSE)+VLOOKUP($C212,'Indicadores Financeiros'!$A$107:$J$119,10,FALSE),IF('Indicadores Financeiros'!$J$91=0,0,(VLOOKUP($C212,'Indicadores Financeiros'!$A$107:$J$119,9,FALSE)+VLOOKUP('Relatório Custo'!$C212,'Indicadores Financeiros'!$A$107:$J$119,10,FALSE)+('Indicadores Financeiros'!$J$87*'Relatório Custo'!$H212)))))</f>
        <v>#N/A</v>
      </c>
      <c r="P212" s="49"/>
      <c r="Q212" s="81"/>
      <c r="R212" s="81"/>
      <c r="S212" s="82"/>
      <c r="T212" s="47"/>
      <c r="U212" s="83"/>
      <c r="V212" s="24"/>
      <c r="W212" s="91"/>
      <c r="X212" s="20"/>
      <c r="Y212" s="114"/>
      <c r="Z212" s="43"/>
      <c r="AA212" s="41"/>
      <c r="AB212" s="25"/>
      <c r="AC212" s="23"/>
      <c r="AD212" s="23"/>
      <c r="AE212" s="154"/>
      <c r="AF212" s="155"/>
      <c r="AG212" s="155"/>
      <c r="AH212" s="31"/>
      <c r="AI212" s="31"/>
      <c r="AJ212" s="31"/>
      <c r="AK212" s="31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  <c r="IW212" s="25"/>
      <c r="IX212" s="25"/>
      <c r="IY212" s="25"/>
      <c r="IZ212" s="25"/>
      <c r="JA212" s="25"/>
      <c r="JB212" s="25"/>
      <c r="JC212" s="25"/>
      <c r="JD212" s="25"/>
      <c r="JE212" s="25"/>
      <c r="JF212" s="25"/>
      <c r="JG212" s="25"/>
      <c r="JH212" s="25"/>
      <c r="JI212" s="25"/>
      <c r="JJ212" s="25"/>
      <c r="JK212" s="25"/>
      <c r="JL212" s="25"/>
      <c r="JM212" s="25"/>
      <c r="JN212" s="25"/>
      <c r="JO212" s="25"/>
      <c r="JP212" s="25"/>
      <c r="JQ212" s="25"/>
      <c r="JR212" s="25"/>
      <c r="JS212" s="25"/>
      <c r="JT212" s="25"/>
      <c r="JU212" s="25"/>
      <c r="JV212" s="25"/>
      <c r="JW212" s="25"/>
      <c r="JX212" s="25"/>
      <c r="JY212" s="25"/>
      <c r="JZ212" s="25"/>
      <c r="KA212" s="25"/>
      <c r="KB212" s="25"/>
      <c r="KC212" s="25"/>
      <c r="KD212" s="25"/>
      <c r="KE212" s="25"/>
      <c r="KF212" s="25"/>
      <c r="KG212" s="25"/>
      <c r="KH212" s="25"/>
      <c r="KI212" s="25"/>
      <c r="KJ212" s="25"/>
      <c r="KK212" s="25"/>
      <c r="KL212" s="25"/>
      <c r="KM212" s="25"/>
      <c r="KN212" s="25"/>
      <c r="KO212" s="25"/>
      <c r="KP212" s="25"/>
      <c r="KQ212" s="25"/>
      <c r="KR212" s="25"/>
      <c r="KS212" s="25"/>
      <c r="KT212" s="25"/>
      <c r="KU212" s="25"/>
      <c r="KV212" s="25"/>
      <c r="KW212" s="25"/>
      <c r="KX212" s="25"/>
      <c r="KY212" s="25"/>
      <c r="KZ212" s="25"/>
      <c r="LA212" s="25"/>
      <c r="LB212" s="25"/>
      <c r="LC212" s="25"/>
      <c r="LD212" s="25"/>
      <c r="LE212" s="25"/>
      <c r="LF212" s="25"/>
      <c r="LG212" s="25"/>
      <c r="LH212" s="25"/>
      <c r="LI212" s="25"/>
      <c r="LJ212" s="25"/>
      <c r="LK212" s="25"/>
      <c r="LL212" s="25"/>
      <c r="LM212" s="25"/>
      <c r="LN212" s="25"/>
      <c r="LO212" s="25"/>
      <c r="LP212" s="25"/>
      <c r="LQ212" s="25"/>
      <c r="LR212" s="25"/>
      <c r="LS212" s="25"/>
      <c r="LT212" s="25"/>
      <c r="LU212" s="25"/>
      <c r="LV212" s="25"/>
      <c r="LW212" s="25"/>
      <c r="LX212" s="25"/>
      <c r="LY212" s="25"/>
      <c r="LZ212" s="25"/>
      <c r="MA212" s="25"/>
      <c r="MB212" s="25"/>
      <c r="MC212" s="25"/>
      <c r="MD212" s="25"/>
      <c r="ME212" s="25"/>
      <c r="MF212" s="25"/>
      <c r="MG212" s="25"/>
      <c r="MH212" s="25"/>
    </row>
    <row r="213" spans="1:346" s="26" customFormat="1">
      <c r="A213" s="21"/>
      <c r="B213" s="22"/>
      <c r="C213" s="4"/>
      <c r="D213" s="7"/>
      <c r="E213" s="7"/>
      <c r="F213" s="4"/>
      <c r="G213" s="4"/>
      <c r="H213" s="4"/>
      <c r="I213" s="77"/>
      <c r="J213" s="156"/>
      <c r="K213" s="77"/>
      <c r="L213" s="78"/>
      <c r="M213" s="78"/>
      <c r="N213" s="49"/>
      <c r="O213" s="49" t="e">
        <f>IF($E213="posto/hora extra",0,IF(OR(E213="posto/dia",E213="posto/dia líder"),VLOOKUP($C213,'Indicadores Financeiros'!$A$107:$J$119,8,FALSE)+VLOOKUP($C213,'Indicadores Financeiros'!$A$107:$J$119,9,FALSE)+VLOOKUP($C213,'Indicadores Financeiros'!$A$107:$J$119,10,FALSE),IF('Indicadores Financeiros'!$J$91=0,0,(VLOOKUP($C213,'Indicadores Financeiros'!$A$107:$J$119,9,FALSE)+VLOOKUP('Relatório Custo'!$C213,'Indicadores Financeiros'!$A$107:$J$119,10,FALSE)+('Indicadores Financeiros'!$J$87*'Relatório Custo'!$H213)))))</f>
        <v>#N/A</v>
      </c>
      <c r="P213" s="49"/>
      <c r="Q213" s="81"/>
      <c r="R213" s="81"/>
      <c r="S213" s="82"/>
      <c r="T213" s="47"/>
      <c r="U213" s="83"/>
      <c r="V213" s="24"/>
      <c r="W213" s="91"/>
      <c r="X213" s="20"/>
      <c r="Y213" s="114"/>
      <c r="Z213" s="43"/>
      <c r="AA213" s="41"/>
      <c r="AB213" s="25"/>
      <c r="AC213" s="23"/>
      <c r="AD213" s="23"/>
      <c r="AE213" s="154"/>
      <c r="AF213" s="155"/>
      <c r="AG213" s="155"/>
      <c r="AH213" s="31"/>
      <c r="AI213" s="31"/>
      <c r="AJ213" s="31"/>
      <c r="AK213" s="31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5"/>
      <c r="KJ213" s="25"/>
      <c r="KK213" s="25"/>
      <c r="KL213" s="25"/>
      <c r="KM213" s="25"/>
      <c r="KN213" s="25"/>
      <c r="KO213" s="25"/>
      <c r="KP213" s="25"/>
      <c r="KQ213" s="25"/>
      <c r="KR213" s="25"/>
      <c r="KS213" s="25"/>
      <c r="KT213" s="25"/>
      <c r="KU213" s="25"/>
      <c r="KV213" s="25"/>
      <c r="KW213" s="25"/>
      <c r="KX213" s="25"/>
      <c r="KY213" s="25"/>
      <c r="KZ213" s="25"/>
      <c r="LA213" s="25"/>
      <c r="LB213" s="25"/>
      <c r="LC213" s="25"/>
      <c r="LD213" s="25"/>
      <c r="LE213" s="25"/>
      <c r="LF213" s="25"/>
      <c r="LG213" s="25"/>
      <c r="LH213" s="25"/>
      <c r="LI213" s="25"/>
      <c r="LJ213" s="25"/>
      <c r="LK213" s="25"/>
      <c r="LL213" s="25"/>
      <c r="LM213" s="25"/>
      <c r="LN213" s="25"/>
      <c r="LO213" s="25"/>
      <c r="LP213" s="25"/>
      <c r="LQ213" s="25"/>
      <c r="LR213" s="25"/>
      <c r="LS213" s="25"/>
      <c r="LT213" s="25"/>
      <c r="LU213" s="25"/>
      <c r="LV213" s="25"/>
      <c r="LW213" s="25"/>
      <c r="LX213" s="25"/>
      <c r="LY213" s="25"/>
      <c r="LZ213" s="25"/>
      <c r="MA213" s="25"/>
      <c r="MB213" s="25"/>
      <c r="MC213" s="25"/>
      <c r="MD213" s="25"/>
      <c r="ME213" s="25"/>
      <c r="MF213" s="25"/>
      <c r="MG213" s="25"/>
      <c r="MH213" s="25"/>
    </row>
    <row r="214" spans="1:346" s="26" customFormat="1">
      <c r="A214" s="21"/>
      <c r="B214" s="22"/>
      <c r="C214" s="4"/>
      <c r="D214" s="7"/>
      <c r="E214" s="7"/>
      <c r="F214" s="4"/>
      <c r="G214" s="4"/>
      <c r="H214" s="4"/>
      <c r="I214" s="77"/>
      <c r="J214" s="156"/>
      <c r="K214" s="77"/>
      <c r="L214" s="78"/>
      <c r="M214" s="78"/>
      <c r="N214" s="49"/>
      <c r="O214" s="49" t="e">
        <f>IF($E214="posto/hora extra",0,IF(OR(E214="posto/dia",E214="posto/dia líder"),VLOOKUP($C214,'Indicadores Financeiros'!$A$107:$J$119,8,FALSE)+VLOOKUP($C214,'Indicadores Financeiros'!$A$107:$J$119,9,FALSE)+VLOOKUP($C214,'Indicadores Financeiros'!$A$107:$J$119,10,FALSE),IF('Indicadores Financeiros'!$J$91=0,0,(VLOOKUP($C214,'Indicadores Financeiros'!$A$107:$J$119,9,FALSE)+VLOOKUP('Relatório Custo'!$C214,'Indicadores Financeiros'!$A$107:$J$119,10,FALSE)+('Indicadores Financeiros'!$J$87*'Relatório Custo'!$H214)))))</f>
        <v>#N/A</v>
      </c>
      <c r="P214" s="49"/>
      <c r="Q214" s="81"/>
      <c r="R214" s="81"/>
      <c r="S214" s="82"/>
      <c r="T214" s="47"/>
      <c r="U214" s="83"/>
      <c r="V214" s="24"/>
      <c r="W214" s="91"/>
      <c r="X214" s="20"/>
      <c r="Y214" s="114"/>
      <c r="Z214" s="43"/>
      <c r="AA214" s="41"/>
      <c r="AB214" s="25"/>
      <c r="AC214" s="23"/>
      <c r="AD214" s="23"/>
      <c r="AE214" s="154"/>
      <c r="AF214" s="155"/>
      <c r="AG214" s="155"/>
      <c r="AH214" s="31"/>
      <c r="AI214" s="31"/>
      <c r="AJ214" s="31"/>
      <c r="AK214" s="31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/>
      <c r="JJ214" s="25"/>
      <c r="JK214" s="25"/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5"/>
      <c r="KJ214" s="25"/>
      <c r="KK214" s="25"/>
      <c r="KL214" s="25"/>
      <c r="KM214" s="25"/>
      <c r="KN214" s="25"/>
      <c r="KO214" s="25"/>
      <c r="KP214" s="25"/>
      <c r="KQ214" s="25"/>
      <c r="KR214" s="25"/>
      <c r="KS214" s="25"/>
      <c r="KT214" s="25"/>
      <c r="KU214" s="25"/>
      <c r="KV214" s="25"/>
      <c r="KW214" s="25"/>
      <c r="KX214" s="25"/>
      <c r="KY214" s="25"/>
      <c r="KZ214" s="25"/>
      <c r="LA214" s="25"/>
      <c r="LB214" s="25"/>
      <c r="LC214" s="25"/>
      <c r="LD214" s="25"/>
      <c r="LE214" s="25"/>
      <c r="LF214" s="25"/>
      <c r="LG214" s="25"/>
      <c r="LH214" s="25"/>
      <c r="LI214" s="25"/>
      <c r="LJ214" s="25"/>
      <c r="LK214" s="25"/>
      <c r="LL214" s="25"/>
      <c r="LM214" s="25"/>
      <c r="LN214" s="25"/>
      <c r="LO214" s="25"/>
      <c r="LP214" s="25"/>
      <c r="LQ214" s="25"/>
      <c r="LR214" s="25"/>
      <c r="LS214" s="25"/>
      <c r="LT214" s="25"/>
      <c r="LU214" s="25"/>
      <c r="LV214" s="25"/>
      <c r="LW214" s="25"/>
      <c r="LX214" s="25"/>
      <c r="LY214" s="25"/>
      <c r="LZ214" s="25"/>
      <c r="MA214" s="25"/>
      <c r="MB214" s="25"/>
      <c r="MC214" s="25"/>
      <c r="MD214" s="25"/>
      <c r="ME214" s="25"/>
      <c r="MF214" s="25"/>
      <c r="MG214" s="25"/>
      <c r="MH214" s="25"/>
    </row>
    <row r="215" spans="1:346" s="26" customFormat="1">
      <c r="A215" s="21"/>
      <c r="B215" s="22"/>
      <c r="C215" s="4"/>
      <c r="D215" s="7"/>
      <c r="E215" s="7"/>
      <c r="F215" s="4"/>
      <c r="G215" s="4"/>
      <c r="H215" s="4"/>
      <c r="I215" s="77"/>
      <c r="J215" s="156"/>
      <c r="K215" s="77"/>
      <c r="L215" s="78"/>
      <c r="M215" s="78"/>
      <c r="N215" s="49"/>
      <c r="O215" s="49" t="e">
        <f>IF($E215="posto/hora extra",0,IF(OR(E215="posto/dia",E215="posto/dia líder"),VLOOKUP($C215,'Indicadores Financeiros'!$A$107:$J$119,8,FALSE)+VLOOKUP($C215,'Indicadores Financeiros'!$A$107:$J$119,9,FALSE)+VLOOKUP($C215,'Indicadores Financeiros'!$A$107:$J$119,10,FALSE),IF('Indicadores Financeiros'!$J$91=0,0,(VLOOKUP($C215,'Indicadores Financeiros'!$A$107:$J$119,9,FALSE)+VLOOKUP('Relatório Custo'!$C215,'Indicadores Financeiros'!$A$107:$J$119,10,FALSE)+('Indicadores Financeiros'!$J$87*'Relatório Custo'!$H215)))))</f>
        <v>#N/A</v>
      </c>
      <c r="P215" s="49"/>
      <c r="Q215" s="81"/>
      <c r="R215" s="81"/>
      <c r="S215" s="82"/>
      <c r="T215" s="47"/>
      <c r="U215" s="83"/>
      <c r="V215" s="24"/>
      <c r="W215" s="91"/>
      <c r="X215" s="20"/>
      <c r="Y215" s="114"/>
      <c r="Z215" s="43"/>
      <c r="AA215" s="41"/>
      <c r="AB215" s="25"/>
      <c r="AC215" s="23"/>
      <c r="AD215" s="23"/>
      <c r="AE215" s="154"/>
      <c r="AF215" s="155"/>
      <c r="AG215" s="155"/>
      <c r="AH215" s="31"/>
      <c r="AI215" s="31"/>
      <c r="AJ215" s="31"/>
      <c r="AK215" s="31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  <c r="IW215" s="25"/>
      <c r="IX215" s="25"/>
      <c r="IY215" s="25"/>
      <c r="IZ215" s="25"/>
      <c r="JA215" s="25"/>
      <c r="JB215" s="25"/>
      <c r="JC215" s="25"/>
      <c r="JD215" s="25"/>
      <c r="JE215" s="25"/>
      <c r="JF215" s="25"/>
      <c r="JG215" s="25"/>
      <c r="JH215" s="25"/>
      <c r="JI215" s="25"/>
      <c r="JJ215" s="25"/>
      <c r="JK215" s="25"/>
      <c r="JL215" s="25"/>
      <c r="JM215" s="25"/>
      <c r="JN215" s="25"/>
      <c r="JO215" s="25"/>
      <c r="JP215" s="25"/>
      <c r="JQ215" s="25"/>
      <c r="JR215" s="25"/>
      <c r="JS215" s="25"/>
      <c r="JT215" s="25"/>
      <c r="JU215" s="25"/>
      <c r="JV215" s="25"/>
      <c r="JW215" s="25"/>
      <c r="JX215" s="25"/>
      <c r="JY215" s="25"/>
      <c r="JZ215" s="25"/>
      <c r="KA215" s="25"/>
      <c r="KB215" s="25"/>
      <c r="KC215" s="25"/>
      <c r="KD215" s="25"/>
      <c r="KE215" s="25"/>
      <c r="KF215" s="25"/>
      <c r="KG215" s="25"/>
      <c r="KH215" s="25"/>
      <c r="KI215" s="25"/>
      <c r="KJ215" s="25"/>
      <c r="KK215" s="25"/>
      <c r="KL215" s="25"/>
      <c r="KM215" s="25"/>
      <c r="KN215" s="25"/>
      <c r="KO215" s="25"/>
      <c r="KP215" s="25"/>
      <c r="KQ215" s="25"/>
      <c r="KR215" s="25"/>
      <c r="KS215" s="25"/>
      <c r="KT215" s="25"/>
      <c r="KU215" s="25"/>
      <c r="KV215" s="25"/>
      <c r="KW215" s="25"/>
      <c r="KX215" s="25"/>
      <c r="KY215" s="25"/>
      <c r="KZ215" s="25"/>
      <c r="LA215" s="25"/>
      <c r="LB215" s="25"/>
      <c r="LC215" s="25"/>
      <c r="LD215" s="25"/>
      <c r="LE215" s="25"/>
      <c r="LF215" s="25"/>
      <c r="LG215" s="25"/>
      <c r="LH215" s="25"/>
      <c r="LI215" s="25"/>
      <c r="LJ215" s="25"/>
      <c r="LK215" s="25"/>
      <c r="LL215" s="25"/>
      <c r="LM215" s="25"/>
      <c r="LN215" s="25"/>
      <c r="LO215" s="25"/>
      <c r="LP215" s="25"/>
      <c r="LQ215" s="25"/>
      <c r="LR215" s="25"/>
      <c r="LS215" s="25"/>
      <c r="LT215" s="25"/>
      <c r="LU215" s="25"/>
      <c r="LV215" s="25"/>
      <c r="LW215" s="25"/>
      <c r="LX215" s="25"/>
      <c r="LY215" s="25"/>
      <c r="LZ215" s="25"/>
      <c r="MA215" s="25"/>
      <c r="MB215" s="25"/>
      <c r="MC215" s="25"/>
      <c r="MD215" s="25"/>
      <c r="ME215" s="25"/>
      <c r="MF215" s="25"/>
      <c r="MG215" s="25"/>
      <c r="MH215" s="25"/>
    </row>
    <row r="216" spans="1:346" s="26" customFormat="1">
      <c r="A216" s="21"/>
      <c r="B216" s="22"/>
      <c r="C216" s="4"/>
      <c r="D216" s="7"/>
      <c r="E216" s="7"/>
      <c r="F216" s="4"/>
      <c r="G216" s="4"/>
      <c r="H216" s="4"/>
      <c r="I216" s="77"/>
      <c r="J216" s="156"/>
      <c r="K216" s="77"/>
      <c r="L216" s="78"/>
      <c r="M216" s="78"/>
      <c r="N216" s="49"/>
      <c r="O216" s="49" t="e">
        <f>IF($E216="posto/hora extra",0,IF(OR(E216="posto/dia",E216="posto/dia líder"),VLOOKUP($C216,'Indicadores Financeiros'!$A$107:$J$119,8,FALSE)+VLOOKUP($C216,'Indicadores Financeiros'!$A$107:$J$119,9,FALSE)+VLOOKUP($C216,'Indicadores Financeiros'!$A$107:$J$119,10,FALSE),IF('Indicadores Financeiros'!$J$91=0,0,(VLOOKUP($C216,'Indicadores Financeiros'!$A$107:$J$119,9,FALSE)+VLOOKUP('Relatório Custo'!$C216,'Indicadores Financeiros'!$A$107:$J$119,10,FALSE)+('Indicadores Financeiros'!$J$87*'Relatório Custo'!$H216)))))</f>
        <v>#N/A</v>
      </c>
      <c r="P216" s="49"/>
      <c r="Q216" s="81"/>
      <c r="R216" s="81"/>
      <c r="S216" s="82"/>
      <c r="T216" s="47"/>
      <c r="U216" s="83"/>
      <c r="V216" s="24"/>
      <c r="W216" s="91"/>
      <c r="X216" s="20"/>
      <c r="Y216" s="114"/>
      <c r="Z216" s="43"/>
      <c r="AA216" s="41"/>
      <c r="AB216" s="25"/>
      <c r="AC216" s="23"/>
      <c r="AD216" s="23"/>
      <c r="AE216" s="154"/>
      <c r="AF216" s="155"/>
      <c r="AG216" s="155"/>
      <c r="AH216" s="31"/>
      <c r="AI216" s="31"/>
      <c r="AJ216" s="31"/>
      <c r="AK216" s="31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  <c r="IW216" s="25"/>
      <c r="IX216" s="25"/>
      <c r="IY216" s="25"/>
      <c r="IZ216" s="25"/>
      <c r="JA216" s="25"/>
      <c r="JB216" s="25"/>
      <c r="JC216" s="25"/>
      <c r="JD216" s="25"/>
      <c r="JE216" s="25"/>
      <c r="JF216" s="25"/>
      <c r="JG216" s="25"/>
      <c r="JH216" s="25"/>
      <c r="JI216" s="25"/>
      <c r="JJ216" s="25"/>
      <c r="JK216" s="25"/>
      <c r="JL216" s="25"/>
      <c r="JM216" s="25"/>
      <c r="JN216" s="25"/>
      <c r="JO216" s="25"/>
      <c r="JP216" s="25"/>
      <c r="JQ216" s="25"/>
      <c r="JR216" s="25"/>
      <c r="JS216" s="25"/>
      <c r="JT216" s="25"/>
      <c r="JU216" s="25"/>
      <c r="JV216" s="25"/>
      <c r="JW216" s="25"/>
      <c r="JX216" s="25"/>
      <c r="JY216" s="25"/>
      <c r="JZ216" s="25"/>
      <c r="KA216" s="25"/>
      <c r="KB216" s="25"/>
      <c r="KC216" s="25"/>
      <c r="KD216" s="25"/>
      <c r="KE216" s="25"/>
      <c r="KF216" s="25"/>
      <c r="KG216" s="25"/>
      <c r="KH216" s="25"/>
      <c r="KI216" s="25"/>
      <c r="KJ216" s="25"/>
      <c r="KK216" s="25"/>
      <c r="KL216" s="25"/>
      <c r="KM216" s="25"/>
      <c r="KN216" s="25"/>
      <c r="KO216" s="25"/>
      <c r="KP216" s="25"/>
      <c r="KQ216" s="25"/>
      <c r="KR216" s="25"/>
      <c r="KS216" s="25"/>
      <c r="KT216" s="25"/>
      <c r="KU216" s="25"/>
      <c r="KV216" s="25"/>
      <c r="KW216" s="25"/>
      <c r="KX216" s="25"/>
      <c r="KY216" s="25"/>
      <c r="KZ216" s="25"/>
      <c r="LA216" s="25"/>
      <c r="LB216" s="25"/>
      <c r="LC216" s="25"/>
      <c r="LD216" s="25"/>
      <c r="LE216" s="25"/>
      <c r="LF216" s="25"/>
      <c r="LG216" s="25"/>
      <c r="LH216" s="25"/>
      <c r="LI216" s="25"/>
      <c r="LJ216" s="25"/>
      <c r="LK216" s="25"/>
      <c r="LL216" s="25"/>
      <c r="LM216" s="25"/>
      <c r="LN216" s="25"/>
      <c r="LO216" s="25"/>
      <c r="LP216" s="25"/>
      <c r="LQ216" s="25"/>
      <c r="LR216" s="25"/>
      <c r="LS216" s="25"/>
      <c r="LT216" s="25"/>
      <c r="LU216" s="25"/>
      <c r="LV216" s="25"/>
      <c r="LW216" s="25"/>
      <c r="LX216" s="25"/>
      <c r="LY216" s="25"/>
      <c r="LZ216" s="25"/>
      <c r="MA216" s="25"/>
      <c r="MB216" s="25"/>
      <c r="MC216" s="25"/>
      <c r="MD216" s="25"/>
      <c r="ME216" s="25"/>
      <c r="MF216" s="25"/>
      <c r="MG216" s="25"/>
      <c r="MH216" s="25"/>
    </row>
    <row r="217" spans="1:346" s="26" customFormat="1">
      <c r="A217" s="21"/>
      <c r="B217" s="22"/>
      <c r="C217" s="4"/>
      <c r="D217" s="7"/>
      <c r="E217" s="7"/>
      <c r="F217" s="4"/>
      <c r="G217" s="4"/>
      <c r="H217" s="4"/>
      <c r="I217" s="77"/>
      <c r="J217" s="156"/>
      <c r="K217" s="77"/>
      <c r="L217" s="78"/>
      <c r="M217" s="78"/>
      <c r="N217" s="49"/>
      <c r="O217" s="49" t="e">
        <f>IF($E217="posto/hora extra",0,IF(OR(E217="posto/dia",E217="posto/dia líder"),VLOOKUP($C217,'Indicadores Financeiros'!$A$107:$J$119,8,FALSE)+VLOOKUP($C217,'Indicadores Financeiros'!$A$107:$J$119,9,FALSE)+VLOOKUP($C217,'Indicadores Financeiros'!$A$107:$J$119,10,FALSE),IF('Indicadores Financeiros'!$J$91=0,0,(VLOOKUP($C217,'Indicadores Financeiros'!$A$107:$J$119,9,FALSE)+VLOOKUP('Relatório Custo'!$C217,'Indicadores Financeiros'!$A$107:$J$119,10,FALSE)+('Indicadores Financeiros'!$J$87*'Relatório Custo'!$H217)))))</f>
        <v>#N/A</v>
      </c>
      <c r="P217" s="49"/>
      <c r="Q217" s="81"/>
      <c r="R217" s="81"/>
      <c r="S217" s="82"/>
      <c r="T217" s="47"/>
      <c r="U217" s="83"/>
      <c r="V217" s="24"/>
      <c r="W217" s="91"/>
      <c r="X217" s="20"/>
      <c r="Y217" s="114"/>
      <c r="Z217" s="43"/>
      <c r="AA217" s="41"/>
      <c r="AB217" s="25"/>
      <c r="AC217" s="23"/>
      <c r="AD217" s="23"/>
      <c r="AE217" s="154"/>
      <c r="AF217" s="155"/>
      <c r="AG217" s="155"/>
      <c r="AH217" s="31"/>
      <c r="AI217" s="31"/>
      <c r="AJ217" s="31"/>
      <c r="AK217" s="31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  <c r="IW217" s="25"/>
      <c r="IX217" s="25"/>
      <c r="IY217" s="25"/>
      <c r="IZ217" s="25"/>
      <c r="JA217" s="25"/>
      <c r="JB217" s="25"/>
      <c r="JC217" s="25"/>
      <c r="JD217" s="25"/>
      <c r="JE217" s="25"/>
      <c r="JF217" s="25"/>
      <c r="JG217" s="25"/>
      <c r="JH217" s="25"/>
      <c r="JI217" s="25"/>
      <c r="JJ217" s="25"/>
      <c r="JK217" s="25"/>
      <c r="JL217" s="25"/>
      <c r="JM217" s="25"/>
      <c r="JN217" s="25"/>
      <c r="JO217" s="25"/>
      <c r="JP217" s="25"/>
      <c r="JQ217" s="25"/>
      <c r="JR217" s="25"/>
      <c r="JS217" s="25"/>
      <c r="JT217" s="25"/>
      <c r="JU217" s="25"/>
      <c r="JV217" s="25"/>
      <c r="JW217" s="25"/>
      <c r="JX217" s="25"/>
      <c r="JY217" s="25"/>
      <c r="JZ217" s="25"/>
      <c r="KA217" s="25"/>
      <c r="KB217" s="25"/>
      <c r="KC217" s="25"/>
      <c r="KD217" s="25"/>
      <c r="KE217" s="25"/>
      <c r="KF217" s="25"/>
      <c r="KG217" s="25"/>
      <c r="KH217" s="25"/>
      <c r="KI217" s="25"/>
      <c r="KJ217" s="25"/>
      <c r="KK217" s="25"/>
      <c r="KL217" s="25"/>
      <c r="KM217" s="25"/>
      <c r="KN217" s="25"/>
      <c r="KO217" s="25"/>
      <c r="KP217" s="25"/>
      <c r="KQ217" s="25"/>
      <c r="KR217" s="25"/>
      <c r="KS217" s="25"/>
      <c r="KT217" s="25"/>
      <c r="KU217" s="25"/>
      <c r="KV217" s="25"/>
      <c r="KW217" s="25"/>
      <c r="KX217" s="25"/>
      <c r="KY217" s="25"/>
      <c r="KZ217" s="25"/>
      <c r="LA217" s="25"/>
      <c r="LB217" s="25"/>
      <c r="LC217" s="25"/>
      <c r="LD217" s="25"/>
      <c r="LE217" s="25"/>
      <c r="LF217" s="25"/>
      <c r="LG217" s="25"/>
      <c r="LH217" s="25"/>
      <c r="LI217" s="25"/>
      <c r="LJ217" s="25"/>
      <c r="LK217" s="25"/>
      <c r="LL217" s="25"/>
      <c r="LM217" s="25"/>
      <c r="LN217" s="25"/>
      <c r="LO217" s="25"/>
      <c r="LP217" s="25"/>
      <c r="LQ217" s="25"/>
      <c r="LR217" s="25"/>
      <c r="LS217" s="25"/>
      <c r="LT217" s="25"/>
      <c r="LU217" s="25"/>
      <c r="LV217" s="25"/>
      <c r="LW217" s="25"/>
      <c r="LX217" s="25"/>
      <c r="LY217" s="25"/>
      <c r="LZ217" s="25"/>
      <c r="MA217" s="25"/>
      <c r="MB217" s="25"/>
      <c r="MC217" s="25"/>
      <c r="MD217" s="25"/>
      <c r="ME217" s="25"/>
      <c r="MF217" s="25"/>
      <c r="MG217" s="25"/>
      <c r="MH217" s="25"/>
    </row>
    <row r="218" spans="1:346" s="26" customFormat="1">
      <c r="A218" s="21"/>
      <c r="B218" s="22"/>
      <c r="C218" s="4"/>
      <c r="D218" s="7"/>
      <c r="E218" s="7"/>
      <c r="F218" s="4"/>
      <c r="G218" s="4"/>
      <c r="H218" s="4"/>
      <c r="I218" s="77"/>
      <c r="J218" s="156"/>
      <c r="K218" s="77"/>
      <c r="L218" s="78"/>
      <c r="M218" s="78"/>
      <c r="N218" s="49"/>
      <c r="O218" s="49" t="e">
        <f>IF($E218="posto/hora extra",0,IF(OR(E218="posto/dia",E218="posto/dia líder"),VLOOKUP($C218,'Indicadores Financeiros'!$A$107:$J$119,8,FALSE)+VLOOKUP($C218,'Indicadores Financeiros'!$A$107:$J$119,9,FALSE)+VLOOKUP($C218,'Indicadores Financeiros'!$A$107:$J$119,10,FALSE),IF('Indicadores Financeiros'!$J$91=0,0,(VLOOKUP($C218,'Indicadores Financeiros'!$A$107:$J$119,9,FALSE)+VLOOKUP('Relatório Custo'!$C218,'Indicadores Financeiros'!$A$107:$J$119,10,FALSE)+('Indicadores Financeiros'!$J$87*'Relatório Custo'!$H218)))))</f>
        <v>#N/A</v>
      </c>
      <c r="P218" s="49"/>
      <c r="Q218" s="81"/>
      <c r="R218" s="81"/>
      <c r="S218" s="82"/>
      <c r="T218" s="47"/>
      <c r="U218" s="83"/>
      <c r="V218" s="24"/>
      <c r="W218" s="91"/>
      <c r="X218" s="20"/>
      <c r="Y218" s="114"/>
      <c r="Z218" s="43"/>
      <c r="AA218" s="41"/>
      <c r="AB218" s="25"/>
      <c r="AC218" s="23"/>
      <c r="AD218" s="23"/>
      <c r="AE218" s="154"/>
      <c r="AF218" s="155"/>
      <c r="AG218" s="155"/>
      <c r="AH218" s="31"/>
      <c r="AI218" s="31"/>
      <c r="AJ218" s="31"/>
      <c r="AK218" s="31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5"/>
      <c r="KL218" s="25"/>
      <c r="KM218" s="25"/>
      <c r="KN218" s="25"/>
      <c r="KO218" s="25"/>
      <c r="KP218" s="25"/>
      <c r="KQ218" s="25"/>
      <c r="KR218" s="25"/>
      <c r="KS218" s="25"/>
      <c r="KT218" s="25"/>
      <c r="KU218" s="25"/>
      <c r="KV218" s="25"/>
      <c r="KW218" s="25"/>
      <c r="KX218" s="25"/>
      <c r="KY218" s="25"/>
      <c r="KZ218" s="25"/>
      <c r="LA218" s="25"/>
      <c r="LB218" s="25"/>
      <c r="LC218" s="25"/>
      <c r="LD218" s="25"/>
      <c r="LE218" s="25"/>
      <c r="LF218" s="25"/>
      <c r="LG218" s="25"/>
      <c r="LH218" s="25"/>
      <c r="LI218" s="25"/>
      <c r="LJ218" s="25"/>
      <c r="LK218" s="25"/>
      <c r="LL218" s="25"/>
      <c r="LM218" s="25"/>
      <c r="LN218" s="25"/>
      <c r="LO218" s="25"/>
      <c r="LP218" s="25"/>
      <c r="LQ218" s="25"/>
      <c r="LR218" s="25"/>
      <c r="LS218" s="25"/>
      <c r="LT218" s="25"/>
      <c r="LU218" s="25"/>
      <c r="LV218" s="25"/>
      <c r="LW218" s="25"/>
      <c r="LX218" s="25"/>
      <c r="LY218" s="25"/>
      <c r="LZ218" s="25"/>
      <c r="MA218" s="25"/>
      <c r="MB218" s="25"/>
      <c r="MC218" s="25"/>
      <c r="MD218" s="25"/>
      <c r="ME218" s="25"/>
      <c r="MF218" s="25"/>
      <c r="MG218" s="25"/>
      <c r="MH218" s="25"/>
    </row>
    <row r="219" spans="1:346" s="26" customFormat="1">
      <c r="A219" s="21"/>
      <c r="B219" s="22"/>
      <c r="C219" s="4"/>
      <c r="D219" s="7"/>
      <c r="E219" s="7"/>
      <c r="F219" s="4"/>
      <c r="G219" s="4"/>
      <c r="H219" s="4"/>
      <c r="I219" s="77"/>
      <c r="J219" s="156"/>
      <c r="K219" s="77"/>
      <c r="L219" s="78"/>
      <c r="M219" s="78"/>
      <c r="N219" s="49"/>
      <c r="O219" s="49" t="e">
        <f>IF($E219="posto/hora extra",0,IF(OR(E219="posto/dia",E219="posto/dia líder"),VLOOKUP($C219,'Indicadores Financeiros'!$A$107:$J$119,8,FALSE)+VLOOKUP($C219,'Indicadores Financeiros'!$A$107:$J$119,9,FALSE)+VLOOKUP($C219,'Indicadores Financeiros'!$A$107:$J$119,10,FALSE),IF('Indicadores Financeiros'!$J$91=0,0,(VLOOKUP($C219,'Indicadores Financeiros'!$A$107:$J$119,9,FALSE)+VLOOKUP('Relatório Custo'!$C219,'Indicadores Financeiros'!$A$107:$J$119,10,FALSE)+('Indicadores Financeiros'!$J$87*'Relatório Custo'!$H219)))))</f>
        <v>#N/A</v>
      </c>
      <c r="P219" s="49"/>
      <c r="Q219" s="81"/>
      <c r="R219" s="81"/>
      <c r="S219" s="82"/>
      <c r="T219" s="47"/>
      <c r="U219" s="83"/>
      <c r="V219" s="24"/>
      <c r="W219" s="91"/>
      <c r="X219" s="20"/>
      <c r="Y219" s="114"/>
      <c r="Z219" s="43"/>
      <c r="AA219" s="41"/>
      <c r="AB219" s="25"/>
      <c r="AC219" s="23"/>
      <c r="AD219" s="23"/>
      <c r="AE219" s="154"/>
      <c r="AF219" s="155"/>
      <c r="AG219" s="155"/>
      <c r="AH219" s="31"/>
      <c r="AI219" s="31"/>
      <c r="AJ219" s="31"/>
      <c r="AK219" s="31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  <c r="IW219" s="25"/>
      <c r="IX219" s="25"/>
      <c r="IY219" s="25"/>
      <c r="IZ219" s="25"/>
      <c r="JA219" s="25"/>
      <c r="JB219" s="25"/>
      <c r="JC219" s="25"/>
      <c r="JD219" s="25"/>
      <c r="JE219" s="25"/>
      <c r="JF219" s="25"/>
      <c r="JG219" s="25"/>
      <c r="JH219" s="25"/>
      <c r="JI219" s="25"/>
      <c r="JJ219" s="25"/>
      <c r="JK219" s="25"/>
      <c r="JL219" s="25"/>
      <c r="JM219" s="25"/>
      <c r="JN219" s="25"/>
      <c r="JO219" s="25"/>
      <c r="JP219" s="25"/>
      <c r="JQ219" s="25"/>
      <c r="JR219" s="25"/>
      <c r="JS219" s="25"/>
      <c r="JT219" s="25"/>
      <c r="JU219" s="25"/>
      <c r="JV219" s="25"/>
      <c r="JW219" s="25"/>
      <c r="JX219" s="25"/>
      <c r="JY219" s="25"/>
      <c r="JZ219" s="25"/>
      <c r="KA219" s="25"/>
      <c r="KB219" s="25"/>
      <c r="KC219" s="25"/>
      <c r="KD219" s="25"/>
      <c r="KE219" s="25"/>
      <c r="KF219" s="25"/>
      <c r="KG219" s="25"/>
      <c r="KH219" s="25"/>
      <c r="KI219" s="25"/>
      <c r="KJ219" s="25"/>
      <c r="KK219" s="25"/>
      <c r="KL219" s="25"/>
      <c r="KM219" s="25"/>
      <c r="KN219" s="25"/>
      <c r="KO219" s="25"/>
      <c r="KP219" s="25"/>
      <c r="KQ219" s="25"/>
      <c r="KR219" s="25"/>
      <c r="KS219" s="25"/>
      <c r="KT219" s="25"/>
      <c r="KU219" s="25"/>
      <c r="KV219" s="25"/>
      <c r="KW219" s="25"/>
      <c r="KX219" s="25"/>
      <c r="KY219" s="25"/>
      <c r="KZ219" s="25"/>
      <c r="LA219" s="25"/>
      <c r="LB219" s="25"/>
      <c r="LC219" s="25"/>
      <c r="LD219" s="25"/>
      <c r="LE219" s="25"/>
      <c r="LF219" s="25"/>
      <c r="LG219" s="25"/>
      <c r="LH219" s="25"/>
      <c r="LI219" s="25"/>
      <c r="LJ219" s="25"/>
      <c r="LK219" s="25"/>
      <c r="LL219" s="25"/>
      <c r="LM219" s="25"/>
      <c r="LN219" s="25"/>
      <c r="LO219" s="25"/>
      <c r="LP219" s="25"/>
      <c r="LQ219" s="25"/>
      <c r="LR219" s="25"/>
      <c r="LS219" s="25"/>
      <c r="LT219" s="25"/>
      <c r="LU219" s="25"/>
      <c r="LV219" s="25"/>
      <c r="LW219" s="25"/>
      <c r="LX219" s="25"/>
      <c r="LY219" s="25"/>
      <c r="LZ219" s="25"/>
      <c r="MA219" s="25"/>
      <c r="MB219" s="25"/>
      <c r="MC219" s="25"/>
      <c r="MD219" s="25"/>
      <c r="ME219" s="25"/>
      <c r="MF219" s="25"/>
      <c r="MG219" s="25"/>
      <c r="MH219" s="25"/>
    </row>
    <row r="220" spans="1:346" s="26" customFormat="1">
      <c r="A220" s="21"/>
      <c r="B220" s="22"/>
      <c r="C220" s="4"/>
      <c r="D220" s="7"/>
      <c r="E220" s="7"/>
      <c r="F220" s="4"/>
      <c r="G220" s="4"/>
      <c r="H220" s="4"/>
      <c r="I220" s="77"/>
      <c r="J220" s="156"/>
      <c r="K220" s="77"/>
      <c r="L220" s="78"/>
      <c r="M220" s="78"/>
      <c r="N220" s="49"/>
      <c r="O220" s="49" t="e">
        <f>IF($E220="posto/hora extra",0,IF(OR(E220="posto/dia",E220="posto/dia líder"),VLOOKUP($C220,'Indicadores Financeiros'!$A$107:$J$119,8,FALSE)+VLOOKUP($C220,'Indicadores Financeiros'!$A$107:$J$119,9,FALSE)+VLOOKUP($C220,'Indicadores Financeiros'!$A$107:$J$119,10,FALSE),IF('Indicadores Financeiros'!$J$91=0,0,(VLOOKUP($C220,'Indicadores Financeiros'!$A$107:$J$119,9,FALSE)+VLOOKUP('Relatório Custo'!$C220,'Indicadores Financeiros'!$A$107:$J$119,10,FALSE)+('Indicadores Financeiros'!$J$87*'Relatório Custo'!$H220)))))</f>
        <v>#N/A</v>
      </c>
      <c r="P220" s="49"/>
      <c r="Q220" s="81"/>
      <c r="R220" s="81"/>
      <c r="S220" s="82"/>
      <c r="T220" s="47"/>
      <c r="U220" s="83"/>
      <c r="V220" s="24"/>
      <c r="W220" s="91"/>
      <c r="X220" s="20"/>
      <c r="Y220" s="114"/>
      <c r="Z220" s="43"/>
      <c r="AA220" s="41"/>
      <c r="AB220" s="25"/>
      <c r="AC220" s="23"/>
      <c r="AD220" s="23"/>
      <c r="AE220" s="154"/>
      <c r="AF220" s="155"/>
      <c r="AG220" s="155"/>
      <c r="AH220" s="31"/>
      <c r="AI220" s="31"/>
      <c r="AJ220" s="31"/>
      <c r="AK220" s="31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  <c r="IW220" s="25"/>
      <c r="IX220" s="25"/>
      <c r="IY220" s="25"/>
      <c r="IZ220" s="25"/>
      <c r="JA220" s="25"/>
      <c r="JB220" s="25"/>
      <c r="JC220" s="25"/>
      <c r="JD220" s="25"/>
      <c r="JE220" s="25"/>
      <c r="JF220" s="25"/>
      <c r="JG220" s="25"/>
      <c r="JH220" s="25"/>
      <c r="JI220" s="25"/>
      <c r="JJ220" s="25"/>
      <c r="JK220" s="25"/>
      <c r="JL220" s="25"/>
      <c r="JM220" s="25"/>
      <c r="JN220" s="25"/>
      <c r="JO220" s="25"/>
      <c r="JP220" s="25"/>
      <c r="JQ220" s="25"/>
      <c r="JR220" s="25"/>
      <c r="JS220" s="25"/>
      <c r="JT220" s="25"/>
      <c r="JU220" s="25"/>
      <c r="JV220" s="25"/>
      <c r="JW220" s="25"/>
      <c r="JX220" s="25"/>
      <c r="JY220" s="25"/>
      <c r="JZ220" s="25"/>
      <c r="KA220" s="25"/>
      <c r="KB220" s="25"/>
      <c r="KC220" s="25"/>
      <c r="KD220" s="25"/>
      <c r="KE220" s="25"/>
      <c r="KF220" s="25"/>
      <c r="KG220" s="25"/>
      <c r="KH220" s="25"/>
      <c r="KI220" s="25"/>
      <c r="KJ220" s="25"/>
      <c r="KK220" s="25"/>
      <c r="KL220" s="25"/>
      <c r="KM220" s="25"/>
      <c r="KN220" s="25"/>
      <c r="KO220" s="25"/>
      <c r="KP220" s="25"/>
      <c r="KQ220" s="25"/>
      <c r="KR220" s="25"/>
      <c r="KS220" s="25"/>
      <c r="KT220" s="25"/>
      <c r="KU220" s="25"/>
      <c r="KV220" s="25"/>
      <c r="KW220" s="25"/>
      <c r="KX220" s="25"/>
      <c r="KY220" s="25"/>
      <c r="KZ220" s="25"/>
      <c r="LA220" s="25"/>
      <c r="LB220" s="25"/>
      <c r="LC220" s="25"/>
      <c r="LD220" s="25"/>
      <c r="LE220" s="25"/>
      <c r="LF220" s="25"/>
      <c r="LG220" s="25"/>
      <c r="LH220" s="25"/>
      <c r="LI220" s="25"/>
      <c r="LJ220" s="25"/>
      <c r="LK220" s="25"/>
      <c r="LL220" s="25"/>
      <c r="LM220" s="25"/>
      <c r="LN220" s="25"/>
      <c r="LO220" s="25"/>
      <c r="LP220" s="25"/>
      <c r="LQ220" s="25"/>
      <c r="LR220" s="25"/>
      <c r="LS220" s="25"/>
      <c r="LT220" s="25"/>
      <c r="LU220" s="25"/>
      <c r="LV220" s="25"/>
      <c r="LW220" s="25"/>
      <c r="LX220" s="25"/>
      <c r="LY220" s="25"/>
      <c r="LZ220" s="25"/>
      <c r="MA220" s="25"/>
      <c r="MB220" s="25"/>
      <c r="MC220" s="25"/>
      <c r="MD220" s="25"/>
      <c r="ME220" s="25"/>
      <c r="MF220" s="25"/>
      <c r="MG220" s="25"/>
      <c r="MH220" s="25"/>
    </row>
    <row r="221" spans="1:346" s="26" customFormat="1">
      <c r="A221" s="21"/>
      <c r="B221" s="22"/>
      <c r="C221" s="4"/>
      <c r="D221" s="7"/>
      <c r="E221" s="7"/>
      <c r="F221" s="4"/>
      <c r="G221" s="4"/>
      <c r="H221" s="4"/>
      <c r="I221" s="77"/>
      <c r="J221" s="156"/>
      <c r="K221" s="77"/>
      <c r="L221" s="78"/>
      <c r="M221" s="78"/>
      <c r="N221" s="49"/>
      <c r="O221" s="49" t="e">
        <f>IF($E221="posto/hora extra",0,IF(OR(E221="posto/dia",E221="posto/dia líder"),VLOOKUP($C221,'Indicadores Financeiros'!$A$107:$J$119,8,FALSE)+VLOOKUP($C221,'Indicadores Financeiros'!$A$107:$J$119,9,FALSE)+VLOOKUP($C221,'Indicadores Financeiros'!$A$107:$J$119,10,FALSE),IF('Indicadores Financeiros'!$J$91=0,0,(VLOOKUP($C221,'Indicadores Financeiros'!$A$107:$J$119,9,FALSE)+VLOOKUP('Relatório Custo'!$C221,'Indicadores Financeiros'!$A$107:$J$119,10,FALSE)+('Indicadores Financeiros'!$J$87*'Relatório Custo'!$H221)))))</f>
        <v>#N/A</v>
      </c>
      <c r="P221" s="49"/>
      <c r="Q221" s="81"/>
      <c r="R221" s="81"/>
      <c r="S221" s="82"/>
      <c r="T221" s="47"/>
      <c r="U221" s="83"/>
      <c r="V221" s="24"/>
      <c r="W221" s="91"/>
      <c r="X221" s="20"/>
      <c r="Y221" s="114"/>
      <c r="Z221" s="43"/>
      <c r="AA221" s="41"/>
      <c r="AB221" s="25"/>
      <c r="AC221" s="23"/>
      <c r="AD221" s="23"/>
      <c r="AE221" s="154"/>
      <c r="AF221" s="155"/>
      <c r="AG221" s="155"/>
      <c r="AH221" s="31"/>
      <c r="AI221" s="31"/>
      <c r="AJ221" s="31"/>
      <c r="AK221" s="31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  <c r="IW221" s="25"/>
      <c r="IX221" s="25"/>
      <c r="IY221" s="25"/>
      <c r="IZ221" s="25"/>
      <c r="JA221" s="25"/>
      <c r="JB221" s="25"/>
      <c r="JC221" s="25"/>
      <c r="JD221" s="25"/>
      <c r="JE221" s="25"/>
      <c r="JF221" s="25"/>
      <c r="JG221" s="25"/>
      <c r="JH221" s="25"/>
      <c r="JI221" s="25"/>
      <c r="JJ221" s="25"/>
      <c r="JK221" s="25"/>
      <c r="JL221" s="25"/>
      <c r="JM221" s="25"/>
      <c r="JN221" s="25"/>
      <c r="JO221" s="25"/>
      <c r="JP221" s="25"/>
      <c r="JQ221" s="25"/>
      <c r="JR221" s="25"/>
      <c r="JS221" s="25"/>
      <c r="JT221" s="25"/>
      <c r="JU221" s="25"/>
      <c r="JV221" s="25"/>
      <c r="JW221" s="25"/>
      <c r="JX221" s="25"/>
      <c r="JY221" s="25"/>
      <c r="JZ221" s="25"/>
      <c r="KA221" s="25"/>
      <c r="KB221" s="25"/>
      <c r="KC221" s="25"/>
      <c r="KD221" s="25"/>
      <c r="KE221" s="25"/>
      <c r="KF221" s="25"/>
      <c r="KG221" s="25"/>
      <c r="KH221" s="25"/>
      <c r="KI221" s="25"/>
      <c r="KJ221" s="25"/>
      <c r="KK221" s="25"/>
      <c r="KL221" s="25"/>
      <c r="KM221" s="25"/>
      <c r="KN221" s="25"/>
      <c r="KO221" s="25"/>
      <c r="KP221" s="25"/>
      <c r="KQ221" s="25"/>
      <c r="KR221" s="25"/>
      <c r="KS221" s="25"/>
      <c r="KT221" s="25"/>
      <c r="KU221" s="25"/>
      <c r="KV221" s="25"/>
      <c r="KW221" s="25"/>
      <c r="KX221" s="25"/>
      <c r="KY221" s="25"/>
      <c r="KZ221" s="25"/>
      <c r="LA221" s="25"/>
      <c r="LB221" s="25"/>
      <c r="LC221" s="25"/>
      <c r="LD221" s="25"/>
      <c r="LE221" s="25"/>
      <c r="LF221" s="25"/>
      <c r="LG221" s="25"/>
      <c r="LH221" s="25"/>
      <c r="LI221" s="25"/>
      <c r="LJ221" s="25"/>
      <c r="LK221" s="25"/>
      <c r="LL221" s="25"/>
      <c r="LM221" s="25"/>
      <c r="LN221" s="25"/>
      <c r="LO221" s="25"/>
      <c r="LP221" s="25"/>
      <c r="LQ221" s="25"/>
      <c r="LR221" s="25"/>
      <c r="LS221" s="25"/>
      <c r="LT221" s="25"/>
      <c r="LU221" s="25"/>
      <c r="LV221" s="25"/>
      <c r="LW221" s="25"/>
      <c r="LX221" s="25"/>
      <c r="LY221" s="25"/>
      <c r="LZ221" s="25"/>
      <c r="MA221" s="25"/>
      <c r="MB221" s="25"/>
      <c r="MC221" s="25"/>
      <c r="MD221" s="25"/>
      <c r="ME221" s="25"/>
      <c r="MF221" s="25"/>
      <c r="MG221" s="25"/>
      <c r="MH221" s="25"/>
    </row>
    <row r="222" spans="1:346" s="26" customFormat="1">
      <c r="A222" s="21"/>
      <c r="B222" s="22"/>
      <c r="C222" s="4"/>
      <c r="D222" s="7"/>
      <c r="E222" s="7"/>
      <c r="F222" s="4"/>
      <c r="G222" s="4"/>
      <c r="H222" s="4"/>
      <c r="I222" s="77"/>
      <c r="J222" s="156"/>
      <c r="K222" s="77"/>
      <c r="L222" s="78"/>
      <c r="M222" s="78"/>
      <c r="N222" s="49"/>
      <c r="O222" s="49" t="e">
        <f>IF($E222="posto/hora extra",0,IF(OR(E222="posto/dia",E222="posto/dia líder"),VLOOKUP($C222,'Indicadores Financeiros'!$A$107:$J$119,8,FALSE)+VLOOKUP($C222,'Indicadores Financeiros'!$A$107:$J$119,9,FALSE)+VLOOKUP($C222,'Indicadores Financeiros'!$A$107:$J$119,10,FALSE),IF('Indicadores Financeiros'!$J$91=0,0,(VLOOKUP($C222,'Indicadores Financeiros'!$A$107:$J$119,9,FALSE)+VLOOKUP('Relatório Custo'!$C222,'Indicadores Financeiros'!$A$107:$J$119,10,FALSE)+('Indicadores Financeiros'!$J$87*'Relatório Custo'!$H222)))))</f>
        <v>#N/A</v>
      </c>
      <c r="P222" s="49"/>
      <c r="Q222" s="81"/>
      <c r="R222" s="81"/>
      <c r="S222" s="82"/>
      <c r="T222" s="47"/>
      <c r="U222" s="83"/>
      <c r="V222" s="24"/>
      <c r="W222" s="91"/>
      <c r="X222" s="20"/>
      <c r="Y222" s="114"/>
      <c r="Z222" s="43"/>
      <c r="AA222" s="41"/>
      <c r="AB222" s="25"/>
      <c r="AC222" s="23"/>
      <c r="AD222" s="23"/>
      <c r="AE222" s="154"/>
      <c r="AF222" s="155"/>
      <c r="AG222" s="155"/>
      <c r="AH222" s="31"/>
      <c r="AI222" s="31"/>
      <c r="AJ222" s="31"/>
      <c r="AK222" s="31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  <c r="IW222" s="25"/>
      <c r="IX222" s="25"/>
      <c r="IY222" s="25"/>
      <c r="IZ222" s="25"/>
      <c r="JA222" s="25"/>
      <c r="JB222" s="25"/>
      <c r="JC222" s="25"/>
      <c r="JD222" s="25"/>
      <c r="JE222" s="25"/>
      <c r="JF222" s="25"/>
      <c r="JG222" s="25"/>
      <c r="JH222" s="25"/>
      <c r="JI222" s="25"/>
      <c r="JJ222" s="25"/>
      <c r="JK222" s="25"/>
      <c r="JL222" s="25"/>
      <c r="JM222" s="25"/>
      <c r="JN222" s="25"/>
      <c r="JO222" s="25"/>
      <c r="JP222" s="25"/>
      <c r="JQ222" s="25"/>
      <c r="JR222" s="25"/>
      <c r="JS222" s="25"/>
      <c r="JT222" s="25"/>
      <c r="JU222" s="25"/>
      <c r="JV222" s="25"/>
      <c r="JW222" s="25"/>
      <c r="JX222" s="25"/>
      <c r="JY222" s="25"/>
      <c r="JZ222" s="25"/>
      <c r="KA222" s="25"/>
      <c r="KB222" s="25"/>
      <c r="KC222" s="25"/>
      <c r="KD222" s="25"/>
      <c r="KE222" s="25"/>
      <c r="KF222" s="25"/>
      <c r="KG222" s="25"/>
      <c r="KH222" s="25"/>
      <c r="KI222" s="25"/>
      <c r="KJ222" s="25"/>
      <c r="KK222" s="25"/>
      <c r="KL222" s="25"/>
      <c r="KM222" s="25"/>
      <c r="KN222" s="25"/>
      <c r="KO222" s="25"/>
      <c r="KP222" s="25"/>
      <c r="KQ222" s="25"/>
      <c r="KR222" s="25"/>
      <c r="KS222" s="25"/>
      <c r="KT222" s="25"/>
      <c r="KU222" s="25"/>
      <c r="KV222" s="25"/>
      <c r="KW222" s="25"/>
      <c r="KX222" s="25"/>
      <c r="KY222" s="25"/>
      <c r="KZ222" s="25"/>
      <c r="LA222" s="25"/>
      <c r="LB222" s="25"/>
      <c r="LC222" s="25"/>
      <c r="LD222" s="25"/>
      <c r="LE222" s="25"/>
      <c r="LF222" s="25"/>
      <c r="LG222" s="25"/>
      <c r="LH222" s="25"/>
      <c r="LI222" s="25"/>
      <c r="LJ222" s="25"/>
      <c r="LK222" s="25"/>
      <c r="LL222" s="25"/>
      <c r="LM222" s="25"/>
      <c r="LN222" s="25"/>
      <c r="LO222" s="25"/>
      <c r="LP222" s="25"/>
      <c r="LQ222" s="25"/>
      <c r="LR222" s="25"/>
      <c r="LS222" s="25"/>
      <c r="LT222" s="25"/>
      <c r="LU222" s="25"/>
      <c r="LV222" s="25"/>
      <c r="LW222" s="25"/>
      <c r="LX222" s="25"/>
      <c r="LY222" s="25"/>
      <c r="LZ222" s="25"/>
      <c r="MA222" s="25"/>
      <c r="MB222" s="25"/>
      <c r="MC222" s="25"/>
      <c r="MD222" s="25"/>
      <c r="ME222" s="25"/>
      <c r="MF222" s="25"/>
      <c r="MG222" s="25"/>
      <c r="MH222" s="25"/>
    </row>
    <row r="223" spans="1:346" s="26" customFormat="1">
      <c r="A223" s="21"/>
      <c r="B223" s="22"/>
      <c r="C223" s="4"/>
      <c r="D223" s="7"/>
      <c r="E223" s="7"/>
      <c r="F223" s="4"/>
      <c r="G223" s="4"/>
      <c r="H223" s="4"/>
      <c r="I223" s="77"/>
      <c r="J223" s="156"/>
      <c r="K223" s="77"/>
      <c r="L223" s="78"/>
      <c r="M223" s="78"/>
      <c r="N223" s="49"/>
      <c r="O223" s="49" t="e">
        <f>IF($E223="posto/hora extra",0,IF(OR(E223="posto/dia",E223="posto/dia líder"),VLOOKUP($C223,'Indicadores Financeiros'!$A$107:$J$119,8,FALSE)+VLOOKUP($C223,'Indicadores Financeiros'!$A$107:$J$119,9,FALSE)+VLOOKUP($C223,'Indicadores Financeiros'!$A$107:$J$119,10,FALSE),IF('Indicadores Financeiros'!$J$91=0,0,(VLOOKUP($C223,'Indicadores Financeiros'!$A$107:$J$119,9,FALSE)+VLOOKUP('Relatório Custo'!$C223,'Indicadores Financeiros'!$A$107:$J$119,10,FALSE)+('Indicadores Financeiros'!$J$87*'Relatório Custo'!$H223)))))</f>
        <v>#N/A</v>
      </c>
      <c r="P223" s="49"/>
      <c r="Q223" s="81"/>
      <c r="R223" s="81"/>
      <c r="S223" s="82"/>
      <c r="T223" s="47"/>
      <c r="U223" s="83"/>
      <c r="V223" s="24"/>
      <c r="W223" s="91"/>
      <c r="X223" s="20"/>
      <c r="Y223" s="114"/>
      <c r="Z223" s="43"/>
      <c r="AA223" s="41"/>
      <c r="AB223" s="25"/>
      <c r="AC223" s="23"/>
      <c r="AD223" s="23"/>
      <c r="AE223" s="154"/>
      <c r="AF223" s="155"/>
      <c r="AG223" s="155"/>
      <c r="AH223" s="31"/>
      <c r="AI223" s="31"/>
      <c r="AJ223" s="31"/>
      <c r="AK223" s="31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  <c r="IW223" s="25"/>
      <c r="IX223" s="25"/>
      <c r="IY223" s="25"/>
      <c r="IZ223" s="25"/>
      <c r="JA223" s="25"/>
      <c r="JB223" s="25"/>
      <c r="JC223" s="25"/>
      <c r="JD223" s="25"/>
      <c r="JE223" s="25"/>
      <c r="JF223" s="25"/>
      <c r="JG223" s="25"/>
      <c r="JH223" s="25"/>
      <c r="JI223" s="25"/>
      <c r="JJ223" s="25"/>
      <c r="JK223" s="25"/>
      <c r="JL223" s="25"/>
      <c r="JM223" s="25"/>
      <c r="JN223" s="25"/>
      <c r="JO223" s="25"/>
      <c r="JP223" s="25"/>
      <c r="JQ223" s="25"/>
      <c r="JR223" s="25"/>
      <c r="JS223" s="25"/>
      <c r="JT223" s="25"/>
      <c r="JU223" s="25"/>
      <c r="JV223" s="25"/>
      <c r="JW223" s="25"/>
      <c r="JX223" s="25"/>
      <c r="JY223" s="25"/>
      <c r="JZ223" s="25"/>
      <c r="KA223" s="25"/>
      <c r="KB223" s="25"/>
      <c r="KC223" s="25"/>
      <c r="KD223" s="25"/>
      <c r="KE223" s="25"/>
      <c r="KF223" s="25"/>
      <c r="KG223" s="25"/>
      <c r="KH223" s="25"/>
      <c r="KI223" s="25"/>
      <c r="KJ223" s="25"/>
      <c r="KK223" s="25"/>
      <c r="KL223" s="25"/>
      <c r="KM223" s="25"/>
      <c r="KN223" s="25"/>
      <c r="KO223" s="25"/>
      <c r="KP223" s="25"/>
      <c r="KQ223" s="25"/>
      <c r="KR223" s="25"/>
      <c r="KS223" s="25"/>
      <c r="KT223" s="25"/>
      <c r="KU223" s="25"/>
      <c r="KV223" s="25"/>
      <c r="KW223" s="25"/>
      <c r="KX223" s="25"/>
      <c r="KY223" s="25"/>
      <c r="KZ223" s="25"/>
      <c r="LA223" s="25"/>
      <c r="LB223" s="25"/>
      <c r="LC223" s="25"/>
      <c r="LD223" s="25"/>
      <c r="LE223" s="25"/>
      <c r="LF223" s="25"/>
      <c r="LG223" s="25"/>
      <c r="LH223" s="25"/>
      <c r="LI223" s="25"/>
      <c r="LJ223" s="25"/>
      <c r="LK223" s="25"/>
      <c r="LL223" s="25"/>
      <c r="LM223" s="25"/>
      <c r="LN223" s="25"/>
      <c r="LO223" s="25"/>
      <c r="LP223" s="25"/>
      <c r="LQ223" s="25"/>
      <c r="LR223" s="25"/>
      <c r="LS223" s="25"/>
      <c r="LT223" s="25"/>
      <c r="LU223" s="25"/>
      <c r="LV223" s="25"/>
      <c r="LW223" s="25"/>
      <c r="LX223" s="25"/>
      <c r="LY223" s="25"/>
      <c r="LZ223" s="25"/>
      <c r="MA223" s="25"/>
      <c r="MB223" s="25"/>
      <c r="MC223" s="25"/>
      <c r="MD223" s="25"/>
      <c r="ME223" s="25"/>
      <c r="MF223" s="25"/>
      <c r="MG223" s="25"/>
      <c r="MH223" s="25"/>
    </row>
    <row r="224" spans="1:346" s="26" customFormat="1">
      <c r="A224" s="21"/>
      <c r="B224" s="22"/>
      <c r="C224" s="4"/>
      <c r="D224" s="7"/>
      <c r="E224" s="7"/>
      <c r="F224" s="4"/>
      <c r="G224" s="4"/>
      <c r="H224" s="4"/>
      <c r="I224" s="77"/>
      <c r="J224" s="156"/>
      <c r="K224" s="77"/>
      <c r="L224" s="78"/>
      <c r="M224" s="78"/>
      <c r="N224" s="49"/>
      <c r="O224" s="49" t="e">
        <f>IF($E224="posto/hora extra",0,IF(OR(E224="posto/dia",E224="posto/dia líder"),VLOOKUP($C224,'Indicadores Financeiros'!$A$107:$J$119,8,FALSE)+VLOOKUP($C224,'Indicadores Financeiros'!$A$107:$J$119,9,FALSE)+VLOOKUP($C224,'Indicadores Financeiros'!$A$107:$J$119,10,FALSE),IF('Indicadores Financeiros'!$J$91=0,0,(VLOOKUP($C224,'Indicadores Financeiros'!$A$107:$J$119,9,FALSE)+VLOOKUP('Relatório Custo'!$C224,'Indicadores Financeiros'!$A$107:$J$119,10,FALSE)+('Indicadores Financeiros'!$J$87*'Relatório Custo'!$H224)))))</f>
        <v>#N/A</v>
      </c>
      <c r="P224" s="49"/>
      <c r="Q224" s="81"/>
      <c r="R224" s="81"/>
      <c r="S224" s="82"/>
      <c r="T224" s="47"/>
      <c r="U224" s="83"/>
      <c r="V224" s="24"/>
      <c r="W224" s="91"/>
      <c r="X224" s="20"/>
      <c r="Y224" s="114"/>
      <c r="Z224" s="43"/>
      <c r="AA224" s="41"/>
      <c r="AB224" s="25"/>
      <c r="AC224" s="23"/>
      <c r="AD224" s="23"/>
      <c r="AE224" s="154"/>
      <c r="AF224" s="155"/>
      <c r="AG224" s="155"/>
      <c r="AH224" s="31"/>
      <c r="AI224" s="31"/>
      <c r="AJ224" s="31"/>
      <c r="AK224" s="31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  <c r="IW224" s="25"/>
      <c r="IX224" s="25"/>
      <c r="IY224" s="25"/>
      <c r="IZ224" s="25"/>
      <c r="JA224" s="25"/>
      <c r="JB224" s="25"/>
      <c r="JC224" s="25"/>
      <c r="JD224" s="25"/>
      <c r="JE224" s="25"/>
      <c r="JF224" s="25"/>
      <c r="JG224" s="25"/>
      <c r="JH224" s="25"/>
      <c r="JI224" s="25"/>
      <c r="JJ224" s="25"/>
      <c r="JK224" s="25"/>
      <c r="JL224" s="25"/>
      <c r="JM224" s="25"/>
      <c r="JN224" s="25"/>
      <c r="JO224" s="25"/>
      <c r="JP224" s="25"/>
      <c r="JQ224" s="25"/>
      <c r="JR224" s="25"/>
      <c r="JS224" s="25"/>
      <c r="JT224" s="25"/>
      <c r="JU224" s="25"/>
      <c r="JV224" s="25"/>
      <c r="JW224" s="25"/>
      <c r="JX224" s="25"/>
      <c r="JY224" s="25"/>
      <c r="JZ224" s="25"/>
      <c r="KA224" s="25"/>
      <c r="KB224" s="25"/>
      <c r="KC224" s="25"/>
      <c r="KD224" s="25"/>
      <c r="KE224" s="25"/>
      <c r="KF224" s="25"/>
      <c r="KG224" s="25"/>
      <c r="KH224" s="25"/>
      <c r="KI224" s="25"/>
      <c r="KJ224" s="25"/>
      <c r="KK224" s="25"/>
      <c r="KL224" s="25"/>
      <c r="KM224" s="25"/>
      <c r="KN224" s="25"/>
      <c r="KO224" s="25"/>
      <c r="KP224" s="25"/>
      <c r="KQ224" s="25"/>
      <c r="KR224" s="25"/>
      <c r="KS224" s="25"/>
      <c r="KT224" s="25"/>
      <c r="KU224" s="25"/>
      <c r="KV224" s="25"/>
      <c r="KW224" s="25"/>
      <c r="KX224" s="25"/>
      <c r="KY224" s="25"/>
      <c r="KZ224" s="25"/>
      <c r="LA224" s="25"/>
      <c r="LB224" s="25"/>
      <c r="LC224" s="25"/>
      <c r="LD224" s="25"/>
      <c r="LE224" s="25"/>
      <c r="LF224" s="25"/>
      <c r="LG224" s="25"/>
      <c r="LH224" s="25"/>
      <c r="LI224" s="25"/>
      <c r="LJ224" s="25"/>
      <c r="LK224" s="25"/>
      <c r="LL224" s="25"/>
      <c r="LM224" s="25"/>
      <c r="LN224" s="25"/>
      <c r="LO224" s="25"/>
      <c r="LP224" s="25"/>
      <c r="LQ224" s="25"/>
      <c r="LR224" s="25"/>
      <c r="LS224" s="25"/>
      <c r="LT224" s="25"/>
      <c r="LU224" s="25"/>
      <c r="LV224" s="25"/>
      <c r="LW224" s="25"/>
      <c r="LX224" s="25"/>
      <c r="LY224" s="25"/>
      <c r="LZ224" s="25"/>
      <c r="MA224" s="25"/>
      <c r="MB224" s="25"/>
      <c r="MC224" s="25"/>
      <c r="MD224" s="25"/>
      <c r="ME224" s="25"/>
      <c r="MF224" s="25"/>
      <c r="MG224" s="25"/>
      <c r="MH224" s="25"/>
    </row>
    <row r="225" spans="1:346" s="26" customFormat="1">
      <c r="A225" s="21"/>
      <c r="B225" s="22"/>
      <c r="C225" s="4"/>
      <c r="D225" s="7"/>
      <c r="E225" s="7"/>
      <c r="F225" s="4"/>
      <c r="G225" s="4"/>
      <c r="H225" s="4"/>
      <c r="I225" s="77"/>
      <c r="J225" s="156"/>
      <c r="K225" s="77"/>
      <c r="L225" s="78"/>
      <c r="M225" s="78"/>
      <c r="N225" s="49"/>
      <c r="O225" s="49" t="e">
        <f>IF($E225="posto/hora extra",0,IF(OR(E225="posto/dia",E225="posto/dia líder"),VLOOKUP($C225,'Indicadores Financeiros'!$A$107:$J$119,8,FALSE)+VLOOKUP($C225,'Indicadores Financeiros'!$A$107:$J$119,9,FALSE)+VLOOKUP($C225,'Indicadores Financeiros'!$A$107:$J$119,10,FALSE),IF('Indicadores Financeiros'!$J$91=0,0,(VLOOKUP($C225,'Indicadores Financeiros'!$A$107:$J$119,9,FALSE)+VLOOKUP('Relatório Custo'!$C225,'Indicadores Financeiros'!$A$107:$J$119,10,FALSE)+('Indicadores Financeiros'!$J$87*'Relatório Custo'!$H225)))))</f>
        <v>#N/A</v>
      </c>
      <c r="P225" s="49"/>
      <c r="Q225" s="81"/>
      <c r="R225" s="81"/>
      <c r="S225" s="82"/>
      <c r="T225" s="47"/>
      <c r="U225" s="83"/>
      <c r="V225" s="24"/>
      <c r="W225" s="91"/>
      <c r="X225" s="20"/>
      <c r="Y225" s="114"/>
      <c r="Z225" s="43"/>
      <c r="AA225" s="41"/>
      <c r="AB225" s="25"/>
      <c r="AC225" s="23"/>
      <c r="AD225" s="23"/>
      <c r="AE225" s="154"/>
      <c r="AF225" s="155"/>
      <c r="AG225" s="155"/>
      <c r="AH225" s="31"/>
      <c r="AI225" s="31"/>
      <c r="AJ225" s="31"/>
      <c r="AK225" s="31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  <c r="IW225" s="25"/>
      <c r="IX225" s="25"/>
      <c r="IY225" s="25"/>
      <c r="IZ225" s="25"/>
      <c r="JA225" s="25"/>
      <c r="JB225" s="25"/>
      <c r="JC225" s="25"/>
      <c r="JD225" s="25"/>
      <c r="JE225" s="25"/>
      <c r="JF225" s="25"/>
      <c r="JG225" s="25"/>
      <c r="JH225" s="25"/>
      <c r="JI225" s="25"/>
      <c r="JJ225" s="25"/>
      <c r="JK225" s="25"/>
      <c r="JL225" s="25"/>
      <c r="JM225" s="25"/>
      <c r="JN225" s="25"/>
      <c r="JO225" s="25"/>
      <c r="JP225" s="25"/>
      <c r="JQ225" s="25"/>
      <c r="JR225" s="25"/>
      <c r="JS225" s="25"/>
      <c r="JT225" s="25"/>
      <c r="JU225" s="25"/>
      <c r="JV225" s="25"/>
      <c r="JW225" s="25"/>
      <c r="JX225" s="25"/>
      <c r="JY225" s="25"/>
      <c r="JZ225" s="25"/>
      <c r="KA225" s="25"/>
      <c r="KB225" s="25"/>
      <c r="KC225" s="25"/>
      <c r="KD225" s="25"/>
      <c r="KE225" s="25"/>
      <c r="KF225" s="25"/>
      <c r="KG225" s="25"/>
      <c r="KH225" s="25"/>
      <c r="KI225" s="25"/>
      <c r="KJ225" s="25"/>
      <c r="KK225" s="25"/>
      <c r="KL225" s="25"/>
      <c r="KM225" s="25"/>
      <c r="KN225" s="25"/>
      <c r="KO225" s="25"/>
      <c r="KP225" s="25"/>
      <c r="KQ225" s="25"/>
      <c r="KR225" s="25"/>
      <c r="KS225" s="25"/>
      <c r="KT225" s="25"/>
      <c r="KU225" s="25"/>
      <c r="KV225" s="25"/>
      <c r="KW225" s="25"/>
      <c r="KX225" s="25"/>
      <c r="KY225" s="25"/>
      <c r="KZ225" s="25"/>
      <c r="LA225" s="25"/>
      <c r="LB225" s="25"/>
      <c r="LC225" s="25"/>
      <c r="LD225" s="25"/>
      <c r="LE225" s="25"/>
      <c r="LF225" s="25"/>
      <c r="LG225" s="25"/>
      <c r="LH225" s="25"/>
      <c r="LI225" s="25"/>
      <c r="LJ225" s="25"/>
      <c r="LK225" s="25"/>
      <c r="LL225" s="25"/>
      <c r="LM225" s="25"/>
      <c r="LN225" s="25"/>
      <c r="LO225" s="25"/>
      <c r="LP225" s="25"/>
      <c r="LQ225" s="25"/>
      <c r="LR225" s="25"/>
      <c r="LS225" s="25"/>
      <c r="LT225" s="25"/>
      <c r="LU225" s="25"/>
      <c r="LV225" s="25"/>
      <c r="LW225" s="25"/>
      <c r="LX225" s="25"/>
      <c r="LY225" s="25"/>
      <c r="LZ225" s="25"/>
      <c r="MA225" s="25"/>
      <c r="MB225" s="25"/>
      <c r="MC225" s="25"/>
      <c r="MD225" s="25"/>
      <c r="ME225" s="25"/>
      <c r="MF225" s="25"/>
      <c r="MG225" s="25"/>
      <c r="MH225" s="25"/>
    </row>
    <row r="226" spans="1:346" s="26" customFormat="1">
      <c r="A226" s="21"/>
      <c r="B226" s="22"/>
      <c r="C226" s="4"/>
      <c r="D226" s="7"/>
      <c r="E226" s="7"/>
      <c r="F226" s="4"/>
      <c r="G226" s="4"/>
      <c r="H226" s="4"/>
      <c r="I226" s="77"/>
      <c r="J226" s="156"/>
      <c r="K226" s="77"/>
      <c r="L226" s="78"/>
      <c r="M226" s="78"/>
      <c r="N226" s="49"/>
      <c r="O226" s="49" t="e">
        <f>IF($E226="posto/hora extra",0,IF(OR(E226="posto/dia",E226="posto/dia líder"),VLOOKUP($C226,'Indicadores Financeiros'!$A$107:$J$119,8,FALSE)+VLOOKUP($C226,'Indicadores Financeiros'!$A$107:$J$119,9,FALSE)+VLOOKUP($C226,'Indicadores Financeiros'!$A$107:$J$119,10,FALSE),IF('Indicadores Financeiros'!$J$91=0,0,(VLOOKUP($C226,'Indicadores Financeiros'!$A$107:$J$119,9,FALSE)+VLOOKUP('Relatório Custo'!$C226,'Indicadores Financeiros'!$A$107:$J$119,10,FALSE)+('Indicadores Financeiros'!$J$87*'Relatório Custo'!$H226)))))</f>
        <v>#N/A</v>
      </c>
      <c r="P226" s="49"/>
      <c r="Q226" s="81"/>
      <c r="R226" s="81"/>
      <c r="S226" s="82"/>
      <c r="T226" s="47"/>
      <c r="U226" s="83"/>
      <c r="V226" s="24"/>
      <c r="W226" s="91"/>
      <c r="X226" s="20"/>
      <c r="Y226" s="114"/>
      <c r="Z226" s="43"/>
      <c r="AA226" s="41"/>
      <c r="AB226" s="25"/>
      <c r="AC226" s="23"/>
      <c r="AD226" s="23"/>
      <c r="AE226" s="154"/>
      <c r="AF226" s="155"/>
      <c r="AG226" s="155"/>
      <c r="AH226" s="31"/>
      <c r="AI226" s="31"/>
      <c r="AJ226" s="31"/>
      <c r="AK226" s="31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  <c r="IW226" s="25"/>
      <c r="IX226" s="25"/>
      <c r="IY226" s="25"/>
      <c r="IZ226" s="25"/>
      <c r="JA226" s="25"/>
      <c r="JB226" s="25"/>
      <c r="JC226" s="25"/>
      <c r="JD226" s="25"/>
      <c r="JE226" s="25"/>
      <c r="JF226" s="25"/>
      <c r="JG226" s="25"/>
      <c r="JH226" s="25"/>
      <c r="JI226" s="25"/>
      <c r="JJ226" s="25"/>
      <c r="JK226" s="25"/>
      <c r="JL226" s="25"/>
      <c r="JM226" s="25"/>
      <c r="JN226" s="25"/>
      <c r="JO226" s="25"/>
      <c r="JP226" s="25"/>
      <c r="JQ226" s="25"/>
      <c r="JR226" s="25"/>
      <c r="JS226" s="25"/>
      <c r="JT226" s="25"/>
      <c r="JU226" s="25"/>
      <c r="JV226" s="25"/>
      <c r="JW226" s="25"/>
      <c r="JX226" s="25"/>
      <c r="JY226" s="25"/>
      <c r="JZ226" s="25"/>
      <c r="KA226" s="25"/>
      <c r="KB226" s="25"/>
      <c r="KC226" s="25"/>
      <c r="KD226" s="25"/>
      <c r="KE226" s="25"/>
      <c r="KF226" s="25"/>
      <c r="KG226" s="25"/>
      <c r="KH226" s="25"/>
      <c r="KI226" s="25"/>
      <c r="KJ226" s="25"/>
      <c r="KK226" s="25"/>
      <c r="KL226" s="25"/>
      <c r="KM226" s="25"/>
      <c r="KN226" s="25"/>
      <c r="KO226" s="25"/>
      <c r="KP226" s="25"/>
      <c r="KQ226" s="25"/>
      <c r="KR226" s="25"/>
      <c r="KS226" s="25"/>
      <c r="KT226" s="25"/>
      <c r="KU226" s="25"/>
      <c r="KV226" s="25"/>
      <c r="KW226" s="25"/>
      <c r="KX226" s="25"/>
      <c r="KY226" s="25"/>
      <c r="KZ226" s="25"/>
      <c r="LA226" s="25"/>
      <c r="LB226" s="25"/>
      <c r="LC226" s="25"/>
      <c r="LD226" s="25"/>
      <c r="LE226" s="25"/>
      <c r="LF226" s="25"/>
      <c r="LG226" s="25"/>
      <c r="LH226" s="25"/>
      <c r="LI226" s="25"/>
      <c r="LJ226" s="25"/>
      <c r="LK226" s="25"/>
      <c r="LL226" s="25"/>
      <c r="LM226" s="25"/>
      <c r="LN226" s="25"/>
      <c r="LO226" s="25"/>
      <c r="LP226" s="25"/>
      <c r="LQ226" s="25"/>
      <c r="LR226" s="25"/>
      <c r="LS226" s="25"/>
      <c r="LT226" s="25"/>
      <c r="LU226" s="25"/>
      <c r="LV226" s="25"/>
      <c r="LW226" s="25"/>
      <c r="LX226" s="25"/>
      <c r="LY226" s="25"/>
      <c r="LZ226" s="25"/>
      <c r="MA226" s="25"/>
      <c r="MB226" s="25"/>
      <c r="MC226" s="25"/>
      <c r="MD226" s="25"/>
      <c r="ME226" s="25"/>
      <c r="MF226" s="25"/>
      <c r="MG226" s="25"/>
      <c r="MH226" s="25"/>
    </row>
    <row r="227" spans="1:346" s="26" customFormat="1">
      <c r="A227" s="21"/>
      <c r="B227" s="22"/>
      <c r="C227" s="4"/>
      <c r="D227" s="7"/>
      <c r="E227" s="7"/>
      <c r="F227" s="4"/>
      <c r="G227" s="4"/>
      <c r="H227" s="4"/>
      <c r="I227" s="77"/>
      <c r="J227" s="156"/>
      <c r="K227" s="77"/>
      <c r="L227" s="78"/>
      <c r="M227" s="78"/>
      <c r="N227" s="49"/>
      <c r="O227" s="49" t="e">
        <f>IF($E227="posto/hora extra",0,IF(OR(E227="posto/dia",E227="posto/dia líder"),VLOOKUP($C227,'Indicadores Financeiros'!$A$107:$J$119,8,FALSE)+VLOOKUP($C227,'Indicadores Financeiros'!$A$107:$J$119,9,FALSE)+VLOOKUP($C227,'Indicadores Financeiros'!$A$107:$J$119,10,FALSE),IF('Indicadores Financeiros'!$J$91=0,0,(VLOOKUP($C227,'Indicadores Financeiros'!$A$107:$J$119,9,FALSE)+VLOOKUP('Relatório Custo'!$C227,'Indicadores Financeiros'!$A$107:$J$119,10,FALSE)+('Indicadores Financeiros'!$J$87*'Relatório Custo'!$H227)))))</f>
        <v>#N/A</v>
      </c>
      <c r="P227" s="49"/>
      <c r="Q227" s="81"/>
      <c r="R227" s="81"/>
      <c r="S227" s="82"/>
      <c r="T227" s="47"/>
      <c r="U227" s="83"/>
      <c r="V227" s="24"/>
      <c r="W227" s="91"/>
      <c r="X227" s="20"/>
      <c r="Y227" s="114"/>
      <c r="Z227" s="43"/>
      <c r="AA227" s="41"/>
      <c r="AB227" s="25"/>
      <c r="AC227" s="23"/>
      <c r="AD227" s="23"/>
      <c r="AE227" s="154"/>
      <c r="AF227" s="155"/>
      <c r="AG227" s="155"/>
      <c r="AH227" s="31"/>
      <c r="AI227" s="31"/>
      <c r="AJ227" s="31"/>
      <c r="AK227" s="31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  <c r="IW227" s="25"/>
      <c r="IX227" s="25"/>
      <c r="IY227" s="25"/>
      <c r="IZ227" s="25"/>
      <c r="JA227" s="25"/>
      <c r="JB227" s="25"/>
      <c r="JC227" s="25"/>
      <c r="JD227" s="25"/>
      <c r="JE227" s="25"/>
      <c r="JF227" s="25"/>
      <c r="JG227" s="25"/>
      <c r="JH227" s="25"/>
      <c r="JI227" s="25"/>
      <c r="JJ227" s="25"/>
      <c r="JK227" s="25"/>
      <c r="JL227" s="25"/>
      <c r="JM227" s="25"/>
      <c r="JN227" s="25"/>
      <c r="JO227" s="25"/>
      <c r="JP227" s="25"/>
      <c r="JQ227" s="25"/>
      <c r="JR227" s="25"/>
      <c r="JS227" s="25"/>
      <c r="JT227" s="25"/>
      <c r="JU227" s="25"/>
      <c r="JV227" s="25"/>
      <c r="JW227" s="25"/>
      <c r="JX227" s="25"/>
      <c r="JY227" s="25"/>
      <c r="JZ227" s="25"/>
      <c r="KA227" s="25"/>
      <c r="KB227" s="25"/>
      <c r="KC227" s="25"/>
      <c r="KD227" s="25"/>
      <c r="KE227" s="25"/>
      <c r="KF227" s="25"/>
      <c r="KG227" s="25"/>
      <c r="KH227" s="25"/>
      <c r="KI227" s="25"/>
      <c r="KJ227" s="25"/>
      <c r="KK227" s="25"/>
      <c r="KL227" s="25"/>
      <c r="KM227" s="25"/>
      <c r="KN227" s="25"/>
      <c r="KO227" s="25"/>
      <c r="KP227" s="25"/>
      <c r="KQ227" s="25"/>
      <c r="KR227" s="25"/>
      <c r="KS227" s="25"/>
      <c r="KT227" s="25"/>
      <c r="KU227" s="25"/>
      <c r="KV227" s="25"/>
      <c r="KW227" s="25"/>
      <c r="KX227" s="25"/>
      <c r="KY227" s="25"/>
      <c r="KZ227" s="25"/>
      <c r="LA227" s="25"/>
      <c r="LB227" s="25"/>
      <c r="LC227" s="25"/>
      <c r="LD227" s="25"/>
      <c r="LE227" s="25"/>
      <c r="LF227" s="25"/>
      <c r="LG227" s="25"/>
      <c r="LH227" s="25"/>
      <c r="LI227" s="25"/>
      <c r="LJ227" s="25"/>
      <c r="LK227" s="25"/>
      <c r="LL227" s="25"/>
      <c r="LM227" s="25"/>
      <c r="LN227" s="25"/>
      <c r="LO227" s="25"/>
      <c r="LP227" s="25"/>
      <c r="LQ227" s="25"/>
      <c r="LR227" s="25"/>
      <c r="LS227" s="25"/>
      <c r="LT227" s="25"/>
      <c r="LU227" s="25"/>
      <c r="LV227" s="25"/>
      <c r="LW227" s="25"/>
      <c r="LX227" s="25"/>
      <c r="LY227" s="25"/>
      <c r="LZ227" s="25"/>
      <c r="MA227" s="25"/>
      <c r="MB227" s="25"/>
      <c r="MC227" s="25"/>
      <c r="MD227" s="25"/>
      <c r="ME227" s="25"/>
      <c r="MF227" s="25"/>
      <c r="MG227" s="25"/>
      <c r="MH227" s="25"/>
    </row>
    <row r="228" spans="1:346" s="26" customFormat="1">
      <c r="A228" s="21"/>
      <c r="B228" s="22"/>
      <c r="C228" s="4"/>
      <c r="D228" s="7"/>
      <c r="E228" s="7"/>
      <c r="F228" s="4"/>
      <c r="G228" s="4"/>
      <c r="H228" s="4"/>
      <c r="I228" s="77"/>
      <c r="J228" s="156"/>
      <c r="K228" s="77"/>
      <c r="L228" s="78"/>
      <c r="M228" s="78"/>
      <c r="N228" s="49"/>
      <c r="O228" s="49" t="e">
        <f>IF($E228="posto/hora extra",0,IF(OR(E228="posto/dia",E228="posto/dia líder"),VLOOKUP($C228,'Indicadores Financeiros'!$A$107:$J$119,8,FALSE)+VLOOKUP($C228,'Indicadores Financeiros'!$A$107:$J$119,9,FALSE)+VLOOKUP($C228,'Indicadores Financeiros'!$A$107:$J$119,10,FALSE),IF('Indicadores Financeiros'!$J$91=0,0,(VLOOKUP($C228,'Indicadores Financeiros'!$A$107:$J$119,9,FALSE)+VLOOKUP('Relatório Custo'!$C228,'Indicadores Financeiros'!$A$107:$J$119,10,FALSE)+('Indicadores Financeiros'!$J$87*'Relatório Custo'!$H228)))))</f>
        <v>#N/A</v>
      </c>
      <c r="P228" s="49"/>
      <c r="Q228" s="81"/>
      <c r="R228" s="81"/>
      <c r="S228" s="82"/>
      <c r="T228" s="47"/>
      <c r="U228" s="83"/>
      <c r="V228" s="24"/>
      <c r="W228" s="91"/>
      <c r="X228" s="20"/>
      <c r="Y228" s="114"/>
      <c r="Z228" s="43"/>
      <c r="AA228" s="41"/>
      <c r="AB228" s="25"/>
      <c r="AC228" s="23"/>
      <c r="AD228" s="23"/>
      <c r="AE228" s="154"/>
      <c r="AF228" s="155"/>
      <c r="AG228" s="155"/>
      <c r="AH228" s="31"/>
      <c r="AI228" s="31"/>
      <c r="AJ228" s="31"/>
      <c r="AK228" s="31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  <c r="IW228" s="25"/>
      <c r="IX228" s="25"/>
      <c r="IY228" s="25"/>
      <c r="IZ228" s="25"/>
      <c r="JA228" s="25"/>
      <c r="JB228" s="25"/>
      <c r="JC228" s="25"/>
      <c r="JD228" s="25"/>
      <c r="JE228" s="25"/>
      <c r="JF228" s="25"/>
      <c r="JG228" s="25"/>
      <c r="JH228" s="25"/>
      <c r="JI228" s="25"/>
      <c r="JJ228" s="25"/>
      <c r="JK228" s="25"/>
      <c r="JL228" s="25"/>
      <c r="JM228" s="25"/>
      <c r="JN228" s="25"/>
      <c r="JO228" s="25"/>
      <c r="JP228" s="25"/>
      <c r="JQ228" s="25"/>
      <c r="JR228" s="25"/>
      <c r="JS228" s="25"/>
      <c r="JT228" s="25"/>
      <c r="JU228" s="25"/>
      <c r="JV228" s="25"/>
      <c r="JW228" s="25"/>
      <c r="JX228" s="25"/>
      <c r="JY228" s="25"/>
      <c r="JZ228" s="25"/>
      <c r="KA228" s="25"/>
      <c r="KB228" s="25"/>
      <c r="KC228" s="25"/>
      <c r="KD228" s="25"/>
      <c r="KE228" s="25"/>
      <c r="KF228" s="25"/>
      <c r="KG228" s="25"/>
      <c r="KH228" s="25"/>
      <c r="KI228" s="25"/>
      <c r="KJ228" s="25"/>
      <c r="KK228" s="25"/>
      <c r="KL228" s="25"/>
      <c r="KM228" s="25"/>
      <c r="KN228" s="25"/>
      <c r="KO228" s="25"/>
      <c r="KP228" s="25"/>
      <c r="KQ228" s="25"/>
      <c r="KR228" s="25"/>
      <c r="KS228" s="25"/>
      <c r="KT228" s="25"/>
      <c r="KU228" s="25"/>
      <c r="KV228" s="25"/>
      <c r="KW228" s="25"/>
      <c r="KX228" s="25"/>
      <c r="KY228" s="25"/>
      <c r="KZ228" s="25"/>
      <c r="LA228" s="25"/>
      <c r="LB228" s="25"/>
      <c r="LC228" s="25"/>
      <c r="LD228" s="25"/>
      <c r="LE228" s="25"/>
      <c r="LF228" s="25"/>
      <c r="LG228" s="25"/>
      <c r="LH228" s="25"/>
      <c r="LI228" s="25"/>
      <c r="LJ228" s="25"/>
      <c r="LK228" s="25"/>
      <c r="LL228" s="25"/>
      <c r="LM228" s="25"/>
      <c r="LN228" s="25"/>
      <c r="LO228" s="25"/>
      <c r="LP228" s="25"/>
      <c r="LQ228" s="25"/>
      <c r="LR228" s="25"/>
      <c r="LS228" s="25"/>
      <c r="LT228" s="25"/>
      <c r="LU228" s="25"/>
      <c r="LV228" s="25"/>
      <c r="LW228" s="25"/>
      <c r="LX228" s="25"/>
      <c r="LY228" s="25"/>
      <c r="LZ228" s="25"/>
      <c r="MA228" s="25"/>
      <c r="MB228" s="25"/>
      <c r="MC228" s="25"/>
      <c r="MD228" s="25"/>
      <c r="ME228" s="25"/>
      <c r="MF228" s="25"/>
      <c r="MG228" s="25"/>
      <c r="MH228" s="25"/>
    </row>
    <row r="229" spans="1:346" s="26" customFormat="1">
      <c r="A229" s="21"/>
      <c r="B229" s="22"/>
      <c r="C229" s="4"/>
      <c r="D229" s="7"/>
      <c r="E229" s="7"/>
      <c r="F229" s="4"/>
      <c r="G229" s="4"/>
      <c r="H229" s="4"/>
      <c r="I229" s="77"/>
      <c r="J229" s="156"/>
      <c r="K229" s="77"/>
      <c r="L229" s="78"/>
      <c r="M229" s="78"/>
      <c r="N229" s="49"/>
      <c r="O229" s="49" t="e">
        <f>IF($E229="posto/hora extra",0,IF(OR(E229="posto/dia",E229="posto/dia líder"),VLOOKUP($C229,'Indicadores Financeiros'!$A$107:$J$119,8,FALSE)+VLOOKUP($C229,'Indicadores Financeiros'!$A$107:$J$119,9,FALSE)+VLOOKUP($C229,'Indicadores Financeiros'!$A$107:$J$119,10,FALSE),IF('Indicadores Financeiros'!$J$91=0,0,(VLOOKUP($C229,'Indicadores Financeiros'!$A$107:$J$119,9,FALSE)+VLOOKUP('Relatório Custo'!$C229,'Indicadores Financeiros'!$A$107:$J$119,10,FALSE)+('Indicadores Financeiros'!$J$87*'Relatório Custo'!$H229)))))</f>
        <v>#N/A</v>
      </c>
      <c r="P229" s="49"/>
      <c r="Q229" s="81"/>
      <c r="R229" s="81"/>
      <c r="S229" s="82"/>
      <c r="T229" s="47"/>
      <c r="U229" s="83"/>
      <c r="V229" s="24"/>
      <c r="W229" s="91"/>
      <c r="X229" s="20"/>
      <c r="Y229" s="114"/>
      <c r="Z229" s="43"/>
      <c r="AA229" s="41"/>
      <c r="AB229" s="25"/>
      <c r="AC229" s="23"/>
      <c r="AD229" s="23"/>
      <c r="AE229" s="154"/>
      <c r="AF229" s="155"/>
      <c r="AG229" s="155"/>
      <c r="AH229" s="31"/>
      <c r="AI229" s="31"/>
      <c r="AJ229" s="31"/>
      <c r="AK229" s="31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  <c r="IV229" s="25"/>
      <c r="IW229" s="25"/>
      <c r="IX229" s="25"/>
      <c r="IY229" s="25"/>
      <c r="IZ229" s="25"/>
      <c r="JA229" s="25"/>
      <c r="JB229" s="25"/>
      <c r="JC229" s="25"/>
      <c r="JD229" s="25"/>
      <c r="JE229" s="25"/>
      <c r="JF229" s="25"/>
      <c r="JG229" s="25"/>
      <c r="JH229" s="25"/>
      <c r="JI229" s="25"/>
      <c r="JJ229" s="25"/>
      <c r="JK229" s="25"/>
      <c r="JL229" s="25"/>
      <c r="JM229" s="25"/>
      <c r="JN229" s="25"/>
      <c r="JO229" s="25"/>
      <c r="JP229" s="25"/>
      <c r="JQ229" s="25"/>
      <c r="JR229" s="25"/>
      <c r="JS229" s="25"/>
      <c r="JT229" s="25"/>
      <c r="JU229" s="25"/>
      <c r="JV229" s="25"/>
      <c r="JW229" s="25"/>
      <c r="JX229" s="25"/>
      <c r="JY229" s="25"/>
      <c r="JZ229" s="25"/>
      <c r="KA229" s="25"/>
      <c r="KB229" s="25"/>
      <c r="KC229" s="25"/>
      <c r="KD229" s="25"/>
      <c r="KE229" s="25"/>
      <c r="KF229" s="25"/>
      <c r="KG229" s="25"/>
      <c r="KH229" s="25"/>
      <c r="KI229" s="25"/>
      <c r="KJ229" s="25"/>
      <c r="KK229" s="25"/>
      <c r="KL229" s="25"/>
      <c r="KM229" s="25"/>
      <c r="KN229" s="25"/>
      <c r="KO229" s="25"/>
      <c r="KP229" s="25"/>
      <c r="KQ229" s="25"/>
      <c r="KR229" s="25"/>
      <c r="KS229" s="25"/>
      <c r="KT229" s="25"/>
      <c r="KU229" s="25"/>
      <c r="KV229" s="25"/>
      <c r="KW229" s="25"/>
      <c r="KX229" s="25"/>
      <c r="KY229" s="25"/>
      <c r="KZ229" s="25"/>
      <c r="LA229" s="25"/>
      <c r="LB229" s="25"/>
      <c r="LC229" s="25"/>
      <c r="LD229" s="25"/>
      <c r="LE229" s="25"/>
      <c r="LF229" s="25"/>
      <c r="LG229" s="25"/>
      <c r="LH229" s="25"/>
      <c r="LI229" s="25"/>
      <c r="LJ229" s="25"/>
      <c r="LK229" s="25"/>
      <c r="LL229" s="25"/>
      <c r="LM229" s="25"/>
      <c r="LN229" s="25"/>
      <c r="LO229" s="25"/>
      <c r="LP229" s="25"/>
      <c r="LQ229" s="25"/>
      <c r="LR229" s="25"/>
      <c r="LS229" s="25"/>
      <c r="LT229" s="25"/>
      <c r="LU229" s="25"/>
      <c r="LV229" s="25"/>
      <c r="LW229" s="25"/>
      <c r="LX229" s="25"/>
      <c r="LY229" s="25"/>
      <c r="LZ229" s="25"/>
      <c r="MA229" s="25"/>
      <c r="MB229" s="25"/>
      <c r="MC229" s="25"/>
      <c r="MD229" s="25"/>
      <c r="ME229" s="25"/>
      <c r="MF229" s="25"/>
      <c r="MG229" s="25"/>
      <c r="MH229" s="25"/>
    </row>
    <row r="230" spans="1:346" s="26" customFormat="1">
      <c r="A230" s="21"/>
      <c r="B230" s="22"/>
      <c r="C230" s="4"/>
      <c r="D230" s="7"/>
      <c r="E230" s="7"/>
      <c r="F230" s="4"/>
      <c r="G230" s="4"/>
      <c r="H230" s="4"/>
      <c r="I230" s="77"/>
      <c r="J230" s="156"/>
      <c r="K230" s="77"/>
      <c r="L230" s="78"/>
      <c r="M230" s="78"/>
      <c r="N230" s="49"/>
      <c r="O230" s="49" t="e">
        <f>IF($E230="posto/hora extra",0,IF(OR(E230="posto/dia",E230="posto/dia líder"),VLOOKUP($C230,'Indicadores Financeiros'!$A$107:$J$119,8,FALSE)+VLOOKUP($C230,'Indicadores Financeiros'!$A$107:$J$119,9,FALSE)+VLOOKUP($C230,'Indicadores Financeiros'!$A$107:$J$119,10,FALSE),IF('Indicadores Financeiros'!$J$91=0,0,(VLOOKUP($C230,'Indicadores Financeiros'!$A$107:$J$119,9,FALSE)+VLOOKUP('Relatório Custo'!$C230,'Indicadores Financeiros'!$A$107:$J$119,10,FALSE)+('Indicadores Financeiros'!$J$87*'Relatório Custo'!$H230)))))</f>
        <v>#N/A</v>
      </c>
      <c r="P230" s="49"/>
      <c r="Q230" s="81"/>
      <c r="R230" s="81"/>
      <c r="S230" s="82"/>
      <c r="T230" s="47"/>
      <c r="U230" s="83"/>
      <c r="V230" s="24"/>
      <c r="W230" s="91"/>
      <c r="X230" s="20"/>
      <c r="Y230" s="114"/>
      <c r="Z230" s="43"/>
      <c r="AA230" s="41"/>
      <c r="AB230" s="25"/>
      <c r="AC230" s="23"/>
      <c r="AD230" s="23"/>
      <c r="AE230" s="154"/>
      <c r="AF230" s="155"/>
      <c r="AG230" s="155"/>
      <c r="AH230" s="31"/>
      <c r="AI230" s="31"/>
      <c r="AJ230" s="31"/>
      <c r="AK230" s="31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  <c r="IV230" s="25"/>
      <c r="IW230" s="25"/>
      <c r="IX230" s="25"/>
      <c r="IY230" s="25"/>
      <c r="IZ230" s="25"/>
      <c r="JA230" s="25"/>
      <c r="JB230" s="25"/>
      <c r="JC230" s="25"/>
      <c r="JD230" s="25"/>
      <c r="JE230" s="25"/>
      <c r="JF230" s="25"/>
      <c r="JG230" s="25"/>
      <c r="JH230" s="25"/>
      <c r="JI230" s="25"/>
      <c r="JJ230" s="25"/>
      <c r="JK230" s="25"/>
      <c r="JL230" s="25"/>
      <c r="JM230" s="25"/>
      <c r="JN230" s="25"/>
      <c r="JO230" s="25"/>
      <c r="JP230" s="25"/>
      <c r="JQ230" s="25"/>
      <c r="JR230" s="25"/>
      <c r="JS230" s="25"/>
      <c r="JT230" s="25"/>
      <c r="JU230" s="25"/>
      <c r="JV230" s="25"/>
      <c r="JW230" s="25"/>
      <c r="JX230" s="25"/>
      <c r="JY230" s="25"/>
      <c r="JZ230" s="25"/>
      <c r="KA230" s="25"/>
      <c r="KB230" s="25"/>
      <c r="KC230" s="25"/>
      <c r="KD230" s="25"/>
      <c r="KE230" s="25"/>
      <c r="KF230" s="25"/>
      <c r="KG230" s="25"/>
      <c r="KH230" s="25"/>
      <c r="KI230" s="25"/>
      <c r="KJ230" s="25"/>
      <c r="KK230" s="25"/>
      <c r="KL230" s="25"/>
      <c r="KM230" s="25"/>
      <c r="KN230" s="25"/>
      <c r="KO230" s="25"/>
      <c r="KP230" s="25"/>
      <c r="KQ230" s="25"/>
      <c r="KR230" s="25"/>
      <c r="KS230" s="25"/>
      <c r="KT230" s="25"/>
      <c r="KU230" s="25"/>
      <c r="KV230" s="25"/>
      <c r="KW230" s="25"/>
      <c r="KX230" s="25"/>
      <c r="KY230" s="25"/>
      <c r="KZ230" s="25"/>
      <c r="LA230" s="25"/>
      <c r="LB230" s="25"/>
      <c r="LC230" s="25"/>
      <c r="LD230" s="25"/>
      <c r="LE230" s="25"/>
      <c r="LF230" s="25"/>
      <c r="LG230" s="25"/>
      <c r="LH230" s="25"/>
      <c r="LI230" s="25"/>
      <c r="LJ230" s="25"/>
      <c r="LK230" s="25"/>
      <c r="LL230" s="25"/>
      <c r="LM230" s="25"/>
      <c r="LN230" s="25"/>
      <c r="LO230" s="25"/>
      <c r="LP230" s="25"/>
      <c r="LQ230" s="25"/>
      <c r="LR230" s="25"/>
      <c r="LS230" s="25"/>
      <c r="LT230" s="25"/>
      <c r="LU230" s="25"/>
      <c r="LV230" s="25"/>
      <c r="LW230" s="25"/>
      <c r="LX230" s="25"/>
      <c r="LY230" s="25"/>
      <c r="LZ230" s="25"/>
      <c r="MA230" s="25"/>
      <c r="MB230" s="25"/>
      <c r="MC230" s="25"/>
      <c r="MD230" s="25"/>
      <c r="ME230" s="25"/>
      <c r="MF230" s="25"/>
      <c r="MG230" s="25"/>
      <c r="MH230" s="25"/>
    </row>
    <row r="231" spans="1:346" s="26" customFormat="1">
      <c r="A231" s="21"/>
      <c r="B231" s="22"/>
      <c r="C231" s="4"/>
      <c r="D231" s="7"/>
      <c r="E231" s="7"/>
      <c r="F231" s="4"/>
      <c r="G231" s="4"/>
      <c r="H231" s="4"/>
      <c r="I231" s="77"/>
      <c r="J231" s="156"/>
      <c r="K231" s="77"/>
      <c r="L231" s="78"/>
      <c r="M231" s="78"/>
      <c r="N231" s="49"/>
      <c r="O231" s="49" t="e">
        <f>IF($E231="posto/hora extra",0,IF(OR(E231="posto/dia",E231="posto/dia líder"),VLOOKUP($C231,'Indicadores Financeiros'!$A$107:$J$119,8,FALSE)+VLOOKUP($C231,'Indicadores Financeiros'!$A$107:$J$119,9,FALSE)+VLOOKUP($C231,'Indicadores Financeiros'!$A$107:$J$119,10,FALSE),IF('Indicadores Financeiros'!$J$91=0,0,(VLOOKUP($C231,'Indicadores Financeiros'!$A$107:$J$119,9,FALSE)+VLOOKUP('Relatório Custo'!$C231,'Indicadores Financeiros'!$A$107:$J$119,10,FALSE)+('Indicadores Financeiros'!$J$87*'Relatório Custo'!$H231)))))</f>
        <v>#N/A</v>
      </c>
      <c r="P231" s="49"/>
      <c r="Q231" s="81"/>
      <c r="R231" s="81"/>
      <c r="S231" s="82"/>
      <c r="T231" s="47"/>
      <c r="U231" s="83"/>
      <c r="V231" s="24"/>
      <c r="W231" s="91"/>
      <c r="X231" s="20"/>
      <c r="Y231" s="114"/>
      <c r="Z231" s="43"/>
      <c r="AA231" s="41"/>
      <c r="AB231" s="25"/>
      <c r="AC231" s="23"/>
      <c r="AD231" s="23"/>
      <c r="AE231" s="154"/>
      <c r="AF231" s="155"/>
      <c r="AG231" s="155"/>
      <c r="AH231" s="31"/>
      <c r="AI231" s="31"/>
      <c r="AJ231" s="31"/>
      <c r="AK231" s="31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  <c r="IW231" s="25"/>
      <c r="IX231" s="25"/>
      <c r="IY231" s="25"/>
      <c r="IZ231" s="25"/>
      <c r="JA231" s="25"/>
      <c r="JB231" s="25"/>
      <c r="JC231" s="25"/>
      <c r="JD231" s="25"/>
      <c r="JE231" s="25"/>
      <c r="JF231" s="25"/>
      <c r="JG231" s="25"/>
      <c r="JH231" s="25"/>
      <c r="JI231" s="25"/>
      <c r="JJ231" s="25"/>
      <c r="JK231" s="25"/>
      <c r="JL231" s="25"/>
      <c r="JM231" s="25"/>
      <c r="JN231" s="25"/>
      <c r="JO231" s="25"/>
      <c r="JP231" s="25"/>
      <c r="JQ231" s="25"/>
      <c r="JR231" s="25"/>
      <c r="JS231" s="25"/>
      <c r="JT231" s="25"/>
      <c r="JU231" s="25"/>
      <c r="JV231" s="25"/>
      <c r="JW231" s="25"/>
      <c r="JX231" s="25"/>
      <c r="JY231" s="25"/>
      <c r="JZ231" s="25"/>
      <c r="KA231" s="25"/>
      <c r="KB231" s="25"/>
      <c r="KC231" s="25"/>
      <c r="KD231" s="25"/>
      <c r="KE231" s="25"/>
      <c r="KF231" s="25"/>
      <c r="KG231" s="25"/>
      <c r="KH231" s="25"/>
      <c r="KI231" s="25"/>
      <c r="KJ231" s="25"/>
      <c r="KK231" s="25"/>
      <c r="KL231" s="25"/>
      <c r="KM231" s="25"/>
      <c r="KN231" s="25"/>
      <c r="KO231" s="25"/>
      <c r="KP231" s="25"/>
      <c r="KQ231" s="25"/>
      <c r="KR231" s="25"/>
      <c r="KS231" s="25"/>
      <c r="KT231" s="25"/>
      <c r="KU231" s="25"/>
      <c r="KV231" s="25"/>
      <c r="KW231" s="25"/>
      <c r="KX231" s="25"/>
      <c r="KY231" s="25"/>
      <c r="KZ231" s="25"/>
      <c r="LA231" s="25"/>
      <c r="LB231" s="25"/>
      <c r="LC231" s="25"/>
      <c r="LD231" s="25"/>
      <c r="LE231" s="25"/>
      <c r="LF231" s="25"/>
      <c r="LG231" s="25"/>
      <c r="LH231" s="25"/>
      <c r="LI231" s="25"/>
      <c r="LJ231" s="25"/>
      <c r="LK231" s="25"/>
      <c r="LL231" s="25"/>
      <c r="LM231" s="25"/>
      <c r="LN231" s="25"/>
      <c r="LO231" s="25"/>
      <c r="LP231" s="25"/>
      <c r="LQ231" s="25"/>
      <c r="LR231" s="25"/>
      <c r="LS231" s="25"/>
      <c r="LT231" s="25"/>
      <c r="LU231" s="25"/>
      <c r="LV231" s="25"/>
      <c r="LW231" s="25"/>
      <c r="LX231" s="25"/>
      <c r="LY231" s="25"/>
      <c r="LZ231" s="25"/>
      <c r="MA231" s="25"/>
      <c r="MB231" s="25"/>
      <c r="MC231" s="25"/>
      <c r="MD231" s="25"/>
      <c r="ME231" s="25"/>
      <c r="MF231" s="25"/>
      <c r="MG231" s="25"/>
      <c r="MH231" s="25"/>
    </row>
    <row r="232" spans="1:346" s="26" customFormat="1">
      <c r="A232" s="21"/>
      <c r="B232" s="22"/>
      <c r="C232" s="4"/>
      <c r="D232" s="7"/>
      <c r="E232" s="7"/>
      <c r="F232" s="4"/>
      <c r="G232" s="4"/>
      <c r="H232" s="4"/>
      <c r="I232" s="77"/>
      <c r="J232" s="156"/>
      <c r="K232" s="77"/>
      <c r="L232" s="78"/>
      <c r="M232" s="78"/>
      <c r="N232" s="49"/>
      <c r="O232" s="49" t="e">
        <f>IF($E232="posto/hora extra",0,IF(OR(E232="posto/dia",E232="posto/dia líder"),VLOOKUP($C232,'Indicadores Financeiros'!$A$107:$J$119,8,FALSE)+VLOOKUP($C232,'Indicadores Financeiros'!$A$107:$J$119,9,FALSE)+VLOOKUP($C232,'Indicadores Financeiros'!$A$107:$J$119,10,FALSE),IF('Indicadores Financeiros'!$J$91=0,0,(VLOOKUP($C232,'Indicadores Financeiros'!$A$107:$J$119,9,FALSE)+VLOOKUP('Relatório Custo'!$C232,'Indicadores Financeiros'!$A$107:$J$119,10,FALSE)+('Indicadores Financeiros'!$J$87*'Relatório Custo'!$H232)))))</f>
        <v>#N/A</v>
      </c>
      <c r="P232" s="49"/>
      <c r="Q232" s="81"/>
      <c r="R232" s="81"/>
      <c r="S232" s="82"/>
      <c r="T232" s="47"/>
      <c r="U232" s="83"/>
      <c r="V232" s="24"/>
      <c r="W232" s="91"/>
      <c r="X232" s="20"/>
      <c r="Y232" s="114"/>
      <c r="Z232" s="43"/>
      <c r="AA232" s="41"/>
      <c r="AB232" s="25"/>
      <c r="AC232" s="23"/>
      <c r="AD232" s="23"/>
      <c r="AE232" s="154"/>
      <c r="AF232" s="155"/>
      <c r="AG232" s="155"/>
      <c r="AH232" s="31"/>
      <c r="AI232" s="31"/>
      <c r="AJ232" s="31"/>
      <c r="AK232" s="31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  <c r="IW232" s="25"/>
      <c r="IX232" s="25"/>
      <c r="IY232" s="25"/>
      <c r="IZ232" s="25"/>
      <c r="JA232" s="25"/>
      <c r="JB232" s="25"/>
      <c r="JC232" s="25"/>
      <c r="JD232" s="25"/>
      <c r="JE232" s="25"/>
      <c r="JF232" s="25"/>
      <c r="JG232" s="25"/>
      <c r="JH232" s="25"/>
      <c r="JI232" s="25"/>
      <c r="JJ232" s="25"/>
      <c r="JK232" s="25"/>
      <c r="JL232" s="25"/>
      <c r="JM232" s="25"/>
      <c r="JN232" s="25"/>
      <c r="JO232" s="25"/>
      <c r="JP232" s="25"/>
      <c r="JQ232" s="25"/>
      <c r="JR232" s="25"/>
      <c r="JS232" s="25"/>
      <c r="JT232" s="25"/>
      <c r="JU232" s="25"/>
      <c r="JV232" s="25"/>
      <c r="JW232" s="25"/>
      <c r="JX232" s="25"/>
      <c r="JY232" s="25"/>
      <c r="JZ232" s="25"/>
      <c r="KA232" s="25"/>
      <c r="KB232" s="25"/>
      <c r="KC232" s="25"/>
      <c r="KD232" s="25"/>
      <c r="KE232" s="25"/>
      <c r="KF232" s="25"/>
      <c r="KG232" s="25"/>
      <c r="KH232" s="25"/>
      <c r="KI232" s="25"/>
      <c r="KJ232" s="25"/>
      <c r="KK232" s="25"/>
      <c r="KL232" s="25"/>
      <c r="KM232" s="25"/>
      <c r="KN232" s="25"/>
      <c r="KO232" s="25"/>
      <c r="KP232" s="25"/>
      <c r="KQ232" s="25"/>
      <c r="KR232" s="25"/>
      <c r="KS232" s="25"/>
      <c r="KT232" s="25"/>
      <c r="KU232" s="25"/>
      <c r="KV232" s="25"/>
      <c r="KW232" s="25"/>
      <c r="KX232" s="25"/>
      <c r="KY232" s="25"/>
      <c r="KZ232" s="25"/>
      <c r="LA232" s="25"/>
      <c r="LB232" s="25"/>
      <c r="LC232" s="25"/>
      <c r="LD232" s="25"/>
      <c r="LE232" s="25"/>
      <c r="LF232" s="25"/>
      <c r="LG232" s="25"/>
      <c r="LH232" s="25"/>
      <c r="LI232" s="25"/>
      <c r="LJ232" s="25"/>
      <c r="LK232" s="25"/>
      <c r="LL232" s="25"/>
      <c r="LM232" s="25"/>
      <c r="LN232" s="25"/>
      <c r="LO232" s="25"/>
      <c r="LP232" s="25"/>
      <c r="LQ232" s="25"/>
      <c r="LR232" s="25"/>
      <c r="LS232" s="25"/>
      <c r="LT232" s="25"/>
      <c r="LU232" s="25"/>
      <c r="LV232" s="25"/>
      <c r="LW232" s="25"/>
      <c r="LX232" s="25"/>
      <c r="LY232" s="25"/>
      <c r="LZ232" s="25"/>
      <c r="MA232" s="25"/>
      <c r="MB232" s="25"/>
      <c r="MC232" s="25"/>
      <c r="MD232" s="25"/>
      <c r="ME232" s="25"/>
      <c r="MF232" s="25"/>
      <c r="MG232" s="25"/>
      <c r="MH232" s="25"/>
    </row>
    <row r="233" spans="1:346" s="26" customFormat="1">
      <c r="A233" s="21"/>
      <c r="B233" s="22"/>
      <c r="C233" s="4"/>
      <c r="D233" s="7"/>
      <c r="E233" s="7"/>
      <c r="F233" s="4"/>
      <c r="G233" s="4"/>
      <c r="H233" s="4"/>
      <c r="I233" s="77"/>
      <c r="J233" s="156"/>
      <c r="K233" s="77"/>
      <c r="L233" s="78"/>
      <c r="M233" s="78"/>
      <c r="N233" s="49"/>
      <c r="O233" s="49" t="e">
        <f>IF($E233="posto/hora extra",0,IF(OR(E233="posto/dia",E233="posto/dia líder"),VLOOKUP($C233,'Indicadores Financeiros'!$A$107:$J$119,8,FALSE)+VLOOKUP($C233,'Indicadores Financeiros'!$A$107:$J$119,9,FALSE)+VLOOKUP($C233,'Indicadores Financeiros'!$A$107:$J$119,10,FALSE),IF('Indicadores Financeiros'!$J$91=0,0,(VLOOKUP($C233,'Indicadores Financeiros'!$A$107:$J$119,9,FALSE)+VLOOKUP('Relatório Custo'!$C233,'Indicadores Financeiros'!$A$107:$J$119,10,FALSE)+('Indicadores Financeiros'!$J$87*'Relatório Custo'!$H233)))))</f>
        <v>#N/A</v>
      </c>
      <c r="P233" s="49"/>
      <c r="Q233" s="81"/>
      <c r="R233" s="81"/>
      <c r="S233" s="82"/>
      <c r="T233" s="47"/>
      <c r="U233" s="83"/>
      <c r="V233" s="24"/>
      <c r="W233" s="91"/>
      <c r="X233" s="20"/>
      <c r="Y233" s="114"/>
      <c r="Z233" s="43"/>
      <c r="AA233" s="41"/>
      <c r="AB233" s="25"/>
      <c r="AC233" s="23"/>
      <c r="AD233" s="23"/>
      <c r="AE233" s="154"/>
      <c r="AF233" s="155"/>
      <c r="AG233" s="155"/>
      <c r="AH233" s="31"/>
      <c r="AI233" s="31"/>
      <c r="AJ233" s="31"/>
      <c r="AK233" s="31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  <c r="IV233" s="25"/>
      <c r="IW233" s="25"/>
      <c r="IX233" s="25"/>
      <c r="IY233" s="25"/>
      <c r="IZ233" s="25"/>
      <c r="JA233" s="25"/>
      <c r="JB233" s="25"/>
      <c r="JC233" s="25"/>
      <c r="JD233" s="25"/>
      <c r="JE233" s="25"/>
      <c r="JF233" s="25"/>
      <c r="JG233" s="25"/>
      <c r="JH233" s="25"/>
      <c r="JI233" s="25"/>
      <c r="JJ233" s="25"/>
      <c r="JK233" s="25"/>
      <c r="JL233" s="25"/>
      <c r="JM233" s="25"/>
      <c r="JN233" s="25"/>
      <c r="JO233" s="25"/>
      <c r="JP233" s="25"/>
      <c r="JQ233" s="25"/>
      <c r="JR233" s="25"/>
      <c r="JS233" s="25"/>
      <c r="JT233" s="25"/>
      <c r="JU233" s="25"/>
      <c r="JV233" s="25"/>
      <c r="JW233" s="25"/>
      <c r="JX233" s="25"/>
      <c r="JY233" s="25"/>
      <c r="JZ233" s="25"/>
      <c r="KA233" s="25"/>
      <c r="KB233" s="25"/>
      <c r="KC233" s="25"/>
      <c r="KD233" s="25"/>
      <c r="KE233" s="25"/>
      <c r="KF233" s="25"/>
      <c r="KG233" s="25"/>
      <c r="KH233" s="25"/>
      <c r="KI233" s="25"/>
      <c r="KJ233" s="25"/>
      <c r="KK233" s="25"/>
      <c r="KL233" s="25"/>
      <c r="KM233" s="25"/>
      <c r="KN233" s="25"/>
      <c r="KO233" s="25"/>
      <c r="KP233" s="25"/>
      <c r="KQ233" s="25"/>
      <c r="KR233" s="25"/>
      <c r="KS233" s="25"/>
      <c r="KT233" s="25"/>
      <c r="KU233" s="25"/>
      <c r="KV233" s="25"/>
      <c r="KW233" s="25"/>
      <c r="KX233" s="25"/>
      <c r="KY233" s="25"/>
      <c r="KZ233" s="25"/>
      <c r="LA233" s="25"/>
      <c r="LB233" s="25"/>
      <c r="LC233" s="25"/>
      <c r="LD233" s="25"/>
      <c r="LE233" s="25"/>
      <c r="LF233" s="25"/>
      <c r="LG233" s="25"/>
      <c r="LH233" s="25"/>
      <c r="LI233" s="25"/>
      <c r="LJ233" s="25"/>
      <c r="LK233" s="25"/>
      <c r="LL233" s="25"/>
      <c r="LM233" s="25"/>
      <c r="LN233" s="25"/>
      <c r="LO233" s="25"/>
      <c r="LP233" s="25"/>
      <c r="LQ233" s="25"/>
      <c r="LR233" s="25"/>
      <c r="LS233" s="25"/>
      <c r="LT233" s="25"/>
      <c r="LU233" s="25"/>
      <c r="LV233" s="25"/>
      <c r="LW233" s="25"/>
      <c r="LX233" s="25"/>
      <c r="LY233" s="25"/>
      <c r="LZ233" s="25"/>
      <c r="MA233" s="25"/>
      <c r="MB233" s="25"/>
      <c r="MC233" s="25"/>
      <c r="MD233" s="25"/>
      <c r="ME233" s="25"/>
      <c r="MF233" s="25"/>
      <c r="MG233" s="25"/>
      <c r="MH233" s="25"/>
    </row>
    <row r="234" spans="1:346" s="26" customFormat="1">
      <c r="A234" s="21"/>
      <c r="B234" s="22"/>
      <c r="C234" s="4"/>
      <c r="D234" s="7"/>
      <c r="E234" s="7"/>
      <c r="F234" s="4"/>
      <c r="G234" s="4"/>
      <c r="H234" s="4"/>
      <c r="I234" s="77"/>
      <c r="J234" s="156"/>
      <c r="K234" s="77"/>
      <c r="L234" s="78"/>
      <c r="M234" s="78"/>
      <c r="N234" s="49"/>
      <c r="O234" s="49" t="e">
        <f>IF($E234="posto/hora extra",0,IF(OR(E234="posto/dia",E234="posto/dia líder"),VLOOKUP($C234,'Indicadores Financeiros'!$A$107:$J$119,8,FALSE)+VLOOKUP($C234,'Indicadores Financeiros'!$A$107:$J$119,9,FALSE)+VLOOKUP($C234,'Indicadores Financeiros'!$A$107:$J$119,10,FALSE),IF('Indicadores Financeiros'!$J$91=0,0,(VLOOKUP($C234,'Indicadores Financeiros'!$A$107:$J$119,9,FALSE)+VLOOKUP('Relatório Custo'!$C234,'Indicadores Financeiros'!$A$107:$J$119,10,FALSE)+('Indicadores Financeiros'!$J$87*'Relatório Custo'!$H234)))))</f>
        <v>#N/A</v>
      </c>
      <c r="P234" s="49"/>
      <c r="Q234" s="81"/>
      <c r="R234" s="81"/>
      <c r="S234" s="82"/>
      <c r="T234" s="47"/>
      <c r="U234" s="83"/>
      <c r="V234" s="24"/>
      <c r="W234" s="91"/>
      <c r="X234" s="20"/>
      <c r="Y234" s="114"/>
      <c r="Z234" s="43"/>
      <c r="AA234" s="41"/>
      <c r="AB234" s="25"/>
      <c r="AC234" s="23"/>
      <c r="AD234" s="23"/>
      <c r="AE234" s="154"/>
      <c r="AF234" s="155"/>
      <c r="AG234" s="155"/>
      <c r="AH234" s="31"/>
      <c r="AI234" s="31"/>
      <c r="AJ234" s="31"/>
      <c r="AK234" s="31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  <c r="IV234" s="25"/>
      <c r="IW234" s="25"/>
      <c r="IX234" s="25"/>
      <c r="IY234" s="25"/>
      <c r="IZ234" s="25"/>
      <c r="JA234" s="25"/>
      <c r="JB234" s="25"/>
      <c r="JC234" s="25"/>
      <c r="JD234" s="25"/>
      <c r="JE234" s="25"/>
      <c r="JF234" s="25"/>
      <c r="JG234" s="25"/>
      <c r="JH234" s="25"/>
      <c r="JI234" s="25"/>
      <c r="JJ234" s="25"/>
      <c r="JK234" s="25"/>
      <c r="JL234" s="25"/>
      <c r="JM234" s="25"/>
      <c r="JN234" s="25"/>
      <c r="JO234" s="25"/>
      <c r="JP234" s="25"/>
      <c r="JQ234" s="25"/>
      <c r="JR234" s="25"/>
      <c r="JS234" s="25"/>
      <c r="JT234" s="25"/>
      <c r="JU234" s="25"/>
      <c r="JV234" s="25"/>
      <c r="JW234" s="25"/>
      <c r="JX234" s="25"/>
      <c r="JY234" s="25"/>
      <c r="JZ234" s="25"/>
      <c r="KA234" s="25"/>
      <c r="KB234" s="25"/>
      <c r="KC234" s="25"/>
      <c r="KD234" s="25"/>
      <c r="KE234" s="25"/>
      <c r="KF234" s="25"/>
      <c r="KG234" s="25"/>
      <c r="KH234" s="25"/>
      <c r="KI234" s="25"/>
      <c r="KJ234" s="25"/>
      <c r="KK234" s="25"/>
      <c r="KL234" s="25"/>
      <c r="KM234" s="25"/>
      <c r="KN234" s="25"/>
      <c r="KO234" s="25"/>
      <c r="KP234" s="25"/>
      <c r="KQ234" s="25"/>
      <c r="KR234" s="25"/>
      <c r="KS234" s="25"/>
      <c r="KT234" s="25"/>
      <c r="KU234" s="25"/>
      <c r="KV234" s="25"/>
      <c r="KW234" s="25"/>
      <c r="KX234" s="25"/>
      <c r="KY234" s="25"/>
      <c r="KZ234" s="25"/>
      <c r="LA234" s="25"/>
      <c r="LB234" s="25"/>
      <c r="LC234" s="25"/>
      <c r="LD234" s="25"/>
      <c r="LE234" s="25"/>
      <c r="LF234" s="25"/>
      <c r="LG234" s="25"/>
      <c r="LH234" s="25"/>
      <c r="LI234" s="25"/>
      <c r="LJ234" s="25"/>
      <c r="LK234" s="25"/>
      <c r="LL234" s="25"/>
      <c r="LM234" s="25"/>
      <c r="LN234" s="25"/>
      <c r="LO234" s="25"/>
      <c r="LP234" s="25"/>
      <c r="LQ234" s="25"/>
      <c r="LR234" s="25"/>
      <c r="LS234" s="25"/>
      <c r="LT234" s="25"/>
      <c r="LU234" s="25"/>
      <c r="LV234" s="25"/>
      <c r="LW234" s="25"/>
      <c r="LX234" s="25"/>
      <c r="LY234" s="25"/>
      <c r="LZ234" s="25"/>
      <c r="MA234" s="25"/>
      <c r="MB234" s="25"/>
      <c r="MC234" s="25"/>
      <c r="MD234" s="25"/>
      <c r="ME234" s="25"/>
      <c r="MF234" s="25"/>
      <c r="MG234" s="25"/>
      <c r="MH234" s="25"/>
    </row>
    <row r="235" spans="1:346" s="26" customFormat="1">
      <c r="A235" s="21"/>
      <c r="B235" s="22"/>
      <c r="C235" s="4"/>
      <c r="D235" s="7"/>
      <c r="E235" s="7"/>
      <c r="F235" s="4"/>
      <c r="G235" s="4"/>
      <c r="H235" s="4"/>
      <c r="I235" s="77"/>
      <c r="J235" s="156"/>
      <c r="K235" s="77"/>
      <c r="L235" s="78"/>
      <c r="M235" s="78"/>
      <c r="N235" s="49"/>
      <c r="O235" s="49" t="e">
        <f>IF($E235="posto/hora extra",0,IF(OR(E235="posto/dia",E235="posto/dia líder"),VLOOKUP($C235,'Indicadores Financeiros'!$A$107:$J$119,8,FALSE)+VLOOKUP($C235,'Indicadores Financeiros'!$A$107:$J$119,9,FALSE)+VLOOKUP($C235,'Indicadores Financeiros'!$A$107:$J$119,10,FALSE),IF('Indicadores Financeiros'!$J$91=0,0,(VLOOKUP($C235,'Indicadores Financeiros'!$A$107:$J$119,9,FALSE)+VLOOKUP('Relatório Custo'!$C235,'Indicadores Financeiros'!$A$107:$J$119,10,FALSE)+('Indicadores Financeiros'!$J$87*'Relatório Custo'!$H235)))))</f>
        <v>#N/A</v>
      </c>
      <c r="P235" s="49"/>
      <c r="Q235" s="81"/>
      <c r="R235" s="81"/>
      <c r="S235" s="82"/>
      <c r="T235" s="47"/>
      <c r="U235" s="83"/>
      <c r="V235" s="24"/>
      <c r="W235" s="91"/>
      <c r="X235" s="20"/>
      <c r="Y235" s="114"/>
      <c r="Z235" s="43"/>
      <c r="AA235" s="41"/>
      <c r="AB235" s="25"/>
      <c r="AC235" s="23"/>
      <c r="AD235" s="23"/>
      <c r="AE235" s="154"/>
      <c r="AF235" s="155"/>
      <c r="AG235" s="155"/>
      <c r="AH235" s="31"/>
      <c r="AI235" s="31"/>
      <c r="AJ235" s="31"/>
      <c r="AK235" s="31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  <c r="IW235" s="25"/>
      <c r="IX235" s="25"/>
      <c r="IY235" s="25"/>
      <c r="IZ235" s="25"/>
      <c r="JA235" s="25"/>
      <c r="JB235" s="25"/>
      <c r="JC235" s="25"/>
      <c r="JD235" s="25"/>
      <c r="JE235" s="25"/>
      <c r="JF235" s="25"/>
      <c r="JG235" s="25"/>
      <c r="JH235" s="25"/>
      <c r="JI235" s="25"/>
      <c r="JJ235" s="25"/>
      <c r="JK235" s="25"/>
      <c r="JL235" s="25"/>
      <c r="JM235" s="25"/>
      <c r="JN235" s="25"/>
      <c r="JO235" s="25"/>
      <c r="JP235" s="25"/>
      <c r="JQ235" s="25"/>
      <c r="JR235" s="25"/>
      <c r="JS235" s="25"/>
      <c r="JT235" s="25"/>
      <c r="JU235" s="25"/>
      <c r="JV235" s="25"/>
      <c r="JW235" s="25"/>
      <c r="JX235" s="25"/>
      <c r="JY235" s="25"/>
      <c r="JZ235" s="25"/>
      <c r="KA235" s="25"/>
      <c r="KB235" s="25"/>
      <c r="KC235" s="25"/>
      <c r="KD235" s="25"/>
      <c r="KE235" s="25"/>
      <c r="KF235" s="25"/>
      <c r="KG235" s="25"/>
      <c r="KH235" s="25"/>
      <c r="KI235" s="25"/>
      <c r="KJ235" s="25"/>
      <c r="KK235" s="25"/>
      <c r="KL235" s="25"/>
      <c r="KM235" s="25"/>
      <c r="KN235" s="25"/>
      <c r="KO235" s="25"/>
      <c r="KP235" s="25"/>
      <c r="KQ235" s="25"/>
      <c r="KR235" s="25"/>
      <c r="KS235" s="25"/>
      <c r="KT235" s="25"/>
      <c r="KU235" s="25"/>
      <c r="KV235" s="25"/>
      <c r="KW235" s="25"/>
      <c r="KX235" s="25"/>
      <c r="KY235" s="25"/>
      <c r="KZ235" s="25"/>
      <c r="LA235" s="25"/>
      <c r="LB235" s="25"/>
      <c r="LC235" s="25"/>
      <c r="LD235" s="25"/>
      <c r="LE235" s="25"/>
      <c r="LF235" s="25"/>
      <c r="LG235" s="25"/>
      <c r="LH235" s="25"/>
      <c r="LI235" s="25"/>
      <c r="LJ235" s="25"/>
      <c r="LK235" s="25"/>
      <c r="LL235" s="25"/>
      <c r="LM235" s="25"/>
      <c r="LN235" s="25"/>
      <c r="LO235" s="25"/>
      <c r="LP235" s="25"/>
      <c r="LQ235" s="25"/>
      <c r="LR235" s="25"/>
      <c r="LS235" s="25"/>
      <c r="LT235" s="25"/>
      <c r="LU235" s="25"/>
      <c r="LV235" s="25"/>
      <c r="LW235" s="25"/>
      <c r="LX235" s="25"/>
      <c r="LY235" s="25"/>
      <c r="LZ235" s="25"/>
      <c r="MA235" s="25"/>
      <c r="MB235" s="25"/>
      <c r="MC235" s="25"/>
      <c r="MD235" s="25"/>
      <c r="ME235" s="25"/>
      <c r="MF235" s="25"/>
      <c r="MG235" s="25"/>
      <c r="MH235" s="25"/>
    </row>
    <row r="236" spans="1:346" s="26" customFormat="1">
      <c r="A236" s="21"/>
      <c r="B236" s="22"/>
      <c r="C236" s="4"/>
      <c r="D236" s="7"/>
      <c r="E236" s="7"/>
      <c r="F236" s="4"/>
      <c r="G236" s="4"/>
      <c r="H236" s="4"/>
      <c r="I236" s="77"/>
      <c r="J236" s="156"/>
      <c r="K236" s="77"/>
      <c r="L236" s="78"/>
      <c r="M236" s="78"/>
      <c r="N236" s="49"/>
      <c r="O236" s="49" t="e">
        <f>IF($E236="posto/hora extra",0,IF(OR(E236="posto/dia",E236="posto/dia líder"),VLOOKUP($C236,'Indicadores Financeiros'!$A$107:$J$119,8,FALSE)+VLOOKUP($C236,'Indicadores Financeiros'!$A$107:$J$119,9,FALSE)+VLOOKUP($C236,'Indicadores Financeiros'!$A$107:$J$119,10,FALSE),IF('Indicadores Financeiros'!$J$91=0,0,(VLOOKUP($C236,'Indicadores Financeiros'!$A$107:$J$119,9,FALSE)+VLOOKUP('Relatório Custo'!$C236,'Indicadores Financeiros'!$A$107:$J$119,10,FALSE)+('Indicadores Financeiros'!$J$87*'Relatório Custo'!$H236)))))</f>
        <v>#N/A</v>
      </c>
      <c r="P236" s="49"/>
      <c r="Q236" s="81"/>
      <c r="R236" s="81"/>
      <c r="S236" s="82"/>
      <c r="T236" s="47"/>
      <c r="U236" s="83"/>
      <c r="V236" s="24"/>
      <c r="W236" s="91"/>
      <c r="X236" s="20"/>
      <c r="Y236" s="114"/>
      <c r="Z236" s="43"/>
      <c r="AA236" s="41"/>
      <c r="AB236" s="25"/>
      <c r="AC236" s="23"/>
      <c r="AD236" s="23"/>
      <c r="AE236" s="154"/>
      <c r="AF236" s="155"/>
      <c r="AG236" s="155"/>
      <c r="AH236" s="31"/>
      <c r="AI236" s="31"/>
      <c r="AJ236" s="31"/>
      <c r="AK236" s="31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  <c r="IW236" s="25"/>
      <c r="IX236" s="25"/>
      <c r="IY236" s="25"/>
      <c r="IZ236" s="25"/>
      <c r="JA236" s="25"/>
      <c r="JB236" s="25"/>
      <c r="JC236" s="25"/>
      <c r="JD236" s="25"/>
      <c r="JE236" s="25"/>
      <c r="JF236" s="25"/>
      <c r="JG236" s="25"/>
      <c r="JH236" s="25"/>
      <c r="JI236" s="25"/>
      <c r="JJ236" s="25"/>
      <c r="JK236" s="25"/>
      <c r="JL236" s="25"/>
      <c r="JM236" s="25"/>
      <c r="JN236" s="25"/>
      <c r="JO236" s="25"/>
      <c r="JP236" s="25"/>
      <c r="JQ236" s="25"/>
      <c r="JR236" s="25"/>
      <c r="JS236" s="25"/>
      <c r="JT236" s="25"/>
      <c r="JU236" s="25"/>
      <c r="JV236" s="25"/>
      <c r="JW236" s="25"/>
      <c r="JX236" s="25"/>
      <c r="JY236" s="25"/>
      <c r="JZ236" s="25"/>
      <c r="KA236" s="25"/>
      <c r="KB236" s="25"/>
      <c r="KC236" s="25"/>
      <c r="KD236" s="25"/>
      <c r="KE236" s="25"/>
      <c r="KF236" s="25"/>
      <c r="KG236" s="25"/>
      <c r="KH236" s="25"/>
      <c r="KI236" s="25"/>
      <c r="KJ236" s="25"/>
      <c r="KK236" s="25"/>
      <c r="KL236" s="25"/>
      <c r="KM236" s="25"/>
      <c r="KN236" s="25"/>
      <c r="KO236" s="25"/>
      <c r="KP236" s="25"/>
      <c r="KQ236" s="25"/>
      <c r="KR236" s="25"/>
      <c r="KS236" s="25"/>
      <c r="KT236" s="25"/>
      <c r="KU236" s="25"/>
      <c r="KV236" s="25"/>
      <c r="KW236" s="25"/>
      <c r="KX236" s="25"/>
      <c r="KY236" s="25"/>
      <c r="KZ236" s="25"/>
      <c r="LA236" s="25"/>
      <c r="LB236" s="25"/>
      <c r="LC236" s="25"/>
      <c r="LD236" s="25"/>
      <c r="LE236" s="25"/>
      <c r="LF236" s="25"/>
      <c r="LG236" s="25"/>
      <c r="LH236" s="25"/>
      <c r="LI236" s="25"/>
      <c r="LJ236" s="25"/>
      <c r="LK236" s="25"/>
      <c r="LL236" s="25"/>
      <c r="LM236" s="25"/>
      <c r="LN236" s="25"/>
      <c r="LO236" s="25"/>
      <c r="LP236" s="25"/>
      <c r="LQ236" s="25"/>
      <c r="LR236" s="25"/>
      <c r="LS236" s="25"/>
      <c r="LT236" s="25"/>
      <c r="LU236" s="25"/>
      <c r="LV236" s="25"/>
      <c r="LW236" s="25"/>
      <c r="LX236" s="25"/>
      <c r="LY236" s="25"/>
      <c r="LZ236" s="25"/>
      <c r="MA236" s="25"/>
      <c r="MB236" s="25"/>
      <c r="MC236" s="25"/>
      <c r="MD236" s="25"/>
      <c r="ME236" s="25"/>
      <c r="MF236" s="25"/>
      <c r="MG236" s="25"/>
      <c r="MH236" s="25"/>
    </row>
    <row r="237" spans="1:346" s="26" customFormat="1">
      <c r="A237" s="21"/>
      <c r="B237" s="22"/>
      <c r="C237" s="4"/>
      <c r="D237" s="7"/>
      <c r="E237" s="7"/>
      <c r="F237" s="4"/>
      <c r="G237" s="4"/>
      <c r="H237" s="4"/>
      <c r="I237" s="77"/>
      <c r="J237" s="156"/>
      <c r="K237" s="77"/>
      <c r="L237" s="78"/>
      <c r="M237" s="78"/>
      <c r="N237" s="49"/>
      <c r="O237" s="49" t="e">
        <f>IF($E237="posto/hora extra",0,IF(OR(E237="posto/dia",E237="posto/dia líder"),VLOOKUP($C237,'Indicadores Financeiros'!$A$107:$J$119,8,FALSE)+VLOOKUP($C237,'Indicadores Financeiros'!$A$107:$J$119,9,FALSE)+VLOOKUP($C237,'Indicadores Financeiros'!$A$107:$J$119,10,FALSE),IF('Indicadores Financeiros'!$J$91=0,0,(VLOOKUP($C237,'Indicadores Financeiros'!$A$107:$J$119,9,FALSE)+VLOOKUP('Relatório Custo'!$C237,'Indicadores Financeiros'!$A$107:$J$119,10,FALSE)+('Indicadores Financeiros'!$J$87*'Relatório Custo'!$H237)))))</f>
        <v>#N/A</v>
      </c>
      <c r="P237" s="49"/>
      <c r="Q237" s="81"/>
      <c r="R237" s="81"/>
      <c r="S237" s="82"/>
      <c r="T237" s="47"/>
      <c r="U237" s="83"/>
      <c r="V237" s="24"/>
      <c r="W237" s="91"/>
      <c r="X237" s="20"/>
      <c r="Y237" s="114"/>
      <c r="Z237" s="43"/>
      <c r="AA237" s="41"/>
      <c r="AB237" s="25"/>
      <c r="AC237" s="23"/>
      <c r="AD237" s="23"/>
      <c r="AE237" s="154"/>
      <c r="AF237" s="155"/>
      <c r="AG237" s="155"/>
      <c r="AH237" s="31"/>
      <c r="AI237" s="31"/>
      <c r="AJ237" s="31"/>
      <c r="AK237" s="31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  <c r="IW237" s="25"/>
      <c r="IX237" s="25"/>
      <c r="IY237" s="25"/>
      <c r="IZ237" s="25"/>
      <c r="JA237" s="25"/>
      <c r="JB237" s="25"/>
      <c r="JC237" s="25"/>
      <c r="JD237" s="25"/>
      <c r="JE237" s="25"/>
      <c r="JF237" s="25"/>
      <c r="JG237" s="25"/>
      <c r="JH237" s="25"/>
      <c r="JI237" s="25"/>
      <c r="JJ237" s="25"/>
      <c r="JK237" s="25"/>
      <c r="JL237" s="25"/>
      <c r="JM237" s="25"/>
      <c r="JN237" s="25"/>
      <c r="JO237" s="25"/>
      <c r="JP237" s="25"/>
      <c r="JQ237" s="25"/>
      <c r="JR237" s="25"/>
      <c r="JS237" s="25"/>
      <c r="JT237" s="25"/>
      <c r="JU237" s="25"/>
      <c r="JV237" s="25"/>
      <c r="JW237" s="25"/>
      <c r="JX237" s="25"/>
      <c r="JY237" s="25"/>
      <c r="JZ237" s="25"/>
      <c r="KA237" s="25"/>
      <c r="KB237" s="25"/>
      <c r="KC237" s="25"/>
      <c r="KD237" s="25"/>
      <c r="KE237" s="25"/>
      <c r="KF237" s="25"/>
      <c r="KG237" s="25"/>
      <c r="KH237" s="25"/>
      <c r="KI237" s="25"/>
      <c r="KJ237" s="25"/>
      <c r="KK237" s="25"/>
      <c r="KL237" s="25"/>
      <c r="KM237" s="25"/>
      <c r="KN237" s="25"/>
      <c r="KO237" s="25"/>
      <c r="KP237" s="25"/>
      <c r="KQ237" s="25"/>
      <c r="KR237" s="25"/>
      <c r="KS237" s="25"/>
      <c r="KT237" s="25"/>
      <c r="KU237" s="25"/>
      <c r="KV237" s="25"/>
      <c r="KW237" s="25"/>
      <c r="KX237" s="25"/>
      <c r="KY237" s="25"/>
      <c r="KZ237" s="25"/>
      <c r="LA237" s="25"/>
      <c r="LB237" s="25"/>
      <c r="LC237" s="25"/>
      <c r="LD237" s="25"/>
      <c r="LE237" s="25"/>
      <c r="LF237" s="25"/>
      <c r="LG237" s="25"/>
      <c r="LH237" s="25"/>
      <c r="LI237" s="25"/>
      <c r="LJ237" s="25"/>
      <c r="LK237" s="25"/>
      <c r="LL237" s="25"/>
      <c r="LM237" s="25"/>
      <c r="LN237" s="25"/>
      <c r="LO237" s="25"/>
      <c r="LP237" s="25"/>
      <c r="LQ237" s="25"/>
      <c r="LR237" s="25"/>
      <c r="LS237" s="25"/>
      <c r="LT237" s="25"/>
      <c r="LU237" s="25"/>
      <c r="LV237" s="25"/>
      <c r="LW237" s="25"/>
      <c r="LX237" s="25"/>
      <c r="LY237" s="25"/>
      <c r="LZ237" s="25"/>
      <c r="MA237" s="25"/>
      <c r="MB237" s="25"/>
      <c r="MC237" s="25"/>
      <c r="MD237" s="25"/>
      <c r="ME237" s="25"/>
      <c r="MF237" s="25"/>
      <c r="MG237" s="25"/>
      <c r="MH237" s="25"/>
    </row>
    <row r="238" spans="1:346" s="26" customFormat="1">
      <c r="A238" s="21"/>
      <c r="B238" s="22"/>
      <c r="C238" s="4"/>
      <c r="D238" s="7"/>
      <c r="E238" s="7"/>
      <c r="F238" s="4"/>
      <c r="G238" s="4"/>
      <c r="H238" s="4"/>
      <c r="I238" s="77"/>
      <c r="J238" s="156"/>
      <c r="K238" s="77"/>
      <c r="L238" s="78"/>
      <c r="M238" s="78"/>
      <c r="N238" s="49"/>
      <c r="O238" s="49" t="e">
        <f>IF($E238="posto/hora extra",0,IF(OR(E238="posto/dia",E238="posto/dia líder"),VLOOKUP($C238,'Indicadores Financeiros'!$A$107:$J$119,8,FALSE)+VLOOKUP($C238,'Indicadores Financeiros'!$A$107:$J$119,9,FALSE)+VLOOKUP($C238,'Indicadores Financeiros'!$A$107:$J$119,10,FALSE),IF('Indicadores Financeiros'!$J$91=0,0,(VLOOKUP($C238,'Indicadores Financeiros'!$A$107:$J$119,9,FALSE)+VLOOKUP('Relatório Custo'!$C238,'Indicadores Financeiros'!$A$107:$J$119,10,FALSE)+('Indicadores Financeiros'!$J$87*'Relatório Custo'!$H238)))))</f>
        <v>#N/A</v>
      </c>
      <c r="P238" s="49"/>
      <c r="Q238" s="81"/>
      <c r="R238" s="81"/>
      <c r="S238" s="82"/>
      <c r="T238" s="47"/>
      <c r="U238" s="83"/>
      <c r="V238" s="24"/>
      <c r="W238" s="91"/>
      <c r="X238" s="20"/>
      <c r="Y238" s="114"/>
      <c r="Z238" s="43"/>
      <c r="AA238" s="41"/>
      <c r="AB238" s="25"/>
      <c r="AC238" s="23"/>
      <c r="AD238" s="23"/>
      <c r="AE238" s="154"/>
      <c r="AF238" s="155"/>
      <c r="AG238" s="155"/>
      <c r="AH238" s="31"/>
      <c r="AI238" s="31"/>
      <c r="AJ238" s="31"/>
      <c r="AK238" s="31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  <c r="IV238" s="25"/>
      <c r="IW238" s="25"/>
      <c r="IX238" s="25"/>
      <c r="IY238" s="25"/>
      <c r="IZ238" s="25"/>
      <c r="JA238" s="25"/>
      <c r="JB238" s="25"/>
      <c r="JC238" s="25"/>
      <c r="JD238" s="25"/>
      <c r="JE238" s="25"/>
      <c r="JF238" s="25"/>
      <c r="JG238" s="25"/>
      <c r="JH238" s="25"/>
      <c r="JI238" s="25"/>
      <c r="JJ238" s="25"/>
      <c r="JK238" s="25"/>
      <c r="JL238" s="25"/>
      <c r="JM238" s="25"/>
      <c r="JN238" s="25"/>
      <c r="JO238" s="25"/>
      <c r="JP238" s="25"/>
      <c r="JQ238" s="25"/>
      <c r="JR238" s="25"/>
      <c r="JS238" s="25"/>
      <c r="JT238" s="25"/>
      <c r="JU238" s="25"/>
      <c r="JV238" s="25"/>
      <c r="JW238" s="25"/>
      <c r="JX238" s="25"/>
      <c r="JY238" s="25"/>
      <c r="JZ238" s="25"/>
      <c r="KA238" s="25"/>
      <c r="KB238" s="25"/>
      <c r="KC238" s="25"/>
      <c r="KD238" s="25"/>
      <c r="KE238" s="25"/>
      <c r="KF238" s="25"/>
      <c r="KG238" s="25"/>
      <c r="KH238" s="25"/>
      <c r="KI238" s="25"/>
      <c r="KJ238" s="25"/>
      <c r="KK238" s="25"/>
      <c r="KL238" s="25"/>
      <c r="KM238" s="25"/>
      <c r="KN238" s="25"/>
      <c r="KO238" s="25"/>
      <c r="KP238" s="25"/>
      <c r="KQ238" s="25"/>
      <c r="KR238" s="25"/>
      <c r="KS238" s="25"/>
      <c r="KT238" s="25"/>
      <c r="KU238" s="25"/>
      <c r="KV238" s="25"/>
      <c r="KW238" s="25"/>
      <c r="KX238" s="25"/>
      <c r="KY238" s="25"/>
      <c r="KZ238" s="25"/>
      <c r="LA238" s="25"/>
      <c r="LB238" s="25"/>
      <c r="LC238" s="25"/>
      <c r="LD238" s="25"/>
      <c r="LE238" s="25"/>
      <c r="LF238" s="25"/>
      <c r="LG238" s="25"/>
      <c r="LH238" s="25"/>
      <c r="LI238" s="25"/>
      <c r="LJ238" s="25"/>
      <c r="LK238" s="25"/>
      <c r="LL238" s="25"/>
      <c r="LM238" s="25"/>
      <c r="LN238" s="25"/>
      <c r="LO238" s="25"/>
      <c r="LP238" s="25"/>
      <c r="LQ238" s="25"/>
      <c r="LR238" s="25"/>
      <c r="LS238" s="25"/>
      <c r="LT238" s="25"/>
      <c r="LU238" s="25"/>
      <c r="LV238" s="25"/>
      <c r="LW238" s="25"/>
      <c r="LX238" s="25"/>
      <c r="LY238" s="25"/>
      <c r="LZ238" s="25"/>
      <c r="MA238" s="25"/>
      <c r="MB238" s="25"/>
      <c r="MC238" s="25"/>
      <c r="MD238" s="25"/>
      <c r="ME238" s="25"/>
      <c r="MF238" s="25"/>
      <c r="MG238" s="25"/>
      <c r="MH238" s="25"/>
    </row>
    <row r="239" spans="1:346" s="26" customFormat="1">
      <c r="A239" s="21"/>
      <c r="B239" s="22"/>
      <c r="C239" s="4"/>
      <c r="D239" s="7"/>
      <c r="E239" s="7"/>
      <c r="F239" s="4"/>
      <c r="G239" s="4"/>
      <c r="H239" s="4"/>
      <c r="I239" s="77"/>
      <c r="J239" s="156"/>
      <c r="K239" s="77"/>
      <c r="L239" s="78"/>
      <c r="M239" s="78"/>
      <c r="N239" s="49"/>
      <c r="O239" s="49" t="e">
        <f>IF($E239="posto/hora extra",0,IF(OR(E239="posto/dia",E239="posto/dia líder"),VLOOKUP($C239,'Indicadores Financeiros'!$A$107:$J$119,8,FALSE)+VLOOKUP($C239,'Indicadores Financeiros'!$A$107:$J$119,9,FALSE)+VLOOKUP($C239,'Indicadores Financeiros'!$A$107:$J$119,10,FALSE),IF('Indicadores Financeiros'!$J$91=0,0,(VLOOKUP($C239,'Indicadores Financeiros'!$A$107:$J$119,9,FALSE)+VLOOKUP('Relatório Custo'!$C239,'Indicadores Financeiros'!$A$107:$J$119,10,FALSE)+('Indicadores Financeiros'!$J$87*'Relatório Custo'!$H239)))))</f>
        <v>#N/A</v>
      </c>
      <c r="P239" s="49"/>
      <c r="Q239" s="81"/>
      <c r="R239" s="81"/>
      <c r="S239" s="82"/>
      <c r="T239" s="47"/>
      <c r="U239" s="83"/>
      <c r="V239" s="24"/>
      <c r="W239" s="91"/>
      <c r="X239" s="20"/>
      <c r="Y239" s="114"/>
      <c r="Z239" s="43"/>
      <c r="AA239" s="41"/>
      <c r="AB239" s="25"/>
      <c r="AC239" s="23"/>
      <c r="AD239" s="23"/>
      <c r="AE239" s="154"/>
      <c r="AF239" s="155"/>
      <c r="AG239" s="155"/>
      <c r="AH239" s="31"/>
      <c r="AI239" s="31"/>
      <c r="AJ239" s="31"/>
      <c r="AK239" s="31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  <c r="IW239" s="25"/>
      <c r="IX239" s="25"/>
      <c r="IY239" s="25"/>
      <c r="IZ239" s="25"/>
      <c r="JA239" s="25"/>
      <c r="JB239" s="25"/>
      <c r="JC239" s="25"/>
      <c r="JD239" s="25"/>
      <c r="JE239" s="25"/>
      <c r="JF239" s="25"/>
      <c r="JG239" s="25"/>
      <c r="JH239" s="25"/>
      <c r="JI239" s="25"/>
      <c r="JJ239" s="25"/>
      <c r="JK239" s="25"/>
      <c r="JL239" s="25"/>
      <c r="JM239" s="25"/>
      <c r="JN239" s="25"/>
      <c r="JO239" s="25"/>
      <c r="JP239" s="25"/>
      <c r="JQ239" s="25"/>
      <c r="JR239" s="25"/>
      <c r="JS239" s="25"/>
      <c r="JT239" s="25"/>
      <c r="JU239" s="25"/>
      <c r="JV239" s="25"/>
      <c r="JW239" s="25"/>
      <c r="JX239" s="25"/>
      <c r="JY239" s="25"/>
      <c r="JZ239" s="25"/>
      <c r="KA239" s="25"/>
      <c r="KB239" s="25"/>
      <c r="KC239" s="25"/>
      <c r="KD239" s="25"/>
      <c r="KE239" s="25"/>
      <c r="KF239" s="25"/>
      <c r="KG239" s="25"/>
      <c r="KH239" s="25"/>
      <c r="KI239" s="25"/>
      <c r="KJ239" s="25"/>
      <c r="KK239" s="25"/>
      <c r="KL239" s="25"/>
      <c r="KM239" s="25"/>
      <c r="KN239" s="25"/>
      <c r="KO239" s="25"/>
      <c r="KP239" s="25"/>
      <c r="KQ239" s="25"/>
      <c r="KR239" s="25"/>
      <c r="KS239" s="25"/>
      <c r="KT239" s="25"/>
      <c r="KU239" s="25"/>
      <c r="KV239" s="25"/>
      <c r="KW239" s="25"/>
      <c r="KX239" s="25"/>
      <c r="KY239" s="25"/>
      <c r="KZ239" s="25"/>
      <c r="LA239" s="25"/>
      <c r="LB239" s="25"/>
      <c r="LC239" s="25"/>
      <c r="LD239" s="25"/>
      <c r="LE239" s="25"/>
      <c r="LF239" s="25"/>
      <c r="LG239" s="25"/>
      <c r="LH239" s="25"/>
      <c r="LI239" s="25"/>
      <c r="LJ239" s="25"/>
      <c r="LK239" s="25"/>
      <c r="LL239" s="25"/>
      <c r="LM239" s="25"/>
      <c r="LN239" s="25"/>
      <c r="LO239" s="25"/>
      <c r="LP239" s="25"/>
      <c r="LQ239" s="25"/>
      <c r="LR239" s="25"/>
      <c r="LS239" s="25"/>
      <c r="LT239" s="25"/>
      <c r="LU239" s="25"/>
      <c r="LV239" s="25"/>
      <c r="LW239" s="25"/>
      <c r="LX239" s="25"/>
      <c r="LY239" s="25"/>
      <c r="LZ239" s="25"/>
      <c r="MA239" s="25"/>
      <c r="MB239" s="25"/>
      <c r="MC239" s="25"/>
      <c r="MD239" s="25"/>
      <c r="ME239" s="25"/>
      <c r="MF239" s="25"/>
      <c r="MG239" s="25"/>
      <c r="MH239" s="25"/>
    </row>
    <row r="240" spans="1:346" s="26" customFormat="1">
      <c r="A240" s="21"/>
      <c r="B240" s="22"/>
      <c r="C240" s="4"/>
      <c r="D240" s="7"/>
      <c r="E240" s="7"/>
      <c r="F240" s="4"/>
      <c r="G240" s="4"/>
      <c r="H240" s="4"/>
      <c r="I240" s="77"/>
      <c r="J240" s="156"/>
      <c r="K240" s="77"/>
      <c r="L240" s="78"/>
      <c r="M240" s="78"/>
      <c r="N240" s="49"/>
      <c r="O240" s="49" t="e">
        <f>IF($E240="posto/hora extra",0,IF(OR(E240="posto/dia",E240="posto/dia líder"),VLOOKUP($C240,'Indicadores Financeiros'!$A$107:$J$119,8,FALSE)+VLOOKUP($C240,'Indicadores Financeiros'!$A$107:$J$119,9,FALSE)+VLOOKUP($C240,'Indicadores Financeiros'!$A$107:$J$119,10,FALSE),IF('Indicadores Financeiros'!$J$91=0,0,(VLOOKUP($C240,'Indicadores Financeiros'!$A$107:$J$119,9,FALSE)+VLOOKUP('Relatório Custo'!$C240,'Indicadores Financeiros'!$A$107:$J$119,10,FALSE)+('Indicadores Financeiros'!$J$87*'Relatório Custo'!$H240)))))</f>
        <v>#N/A</v>
      </c>
      <c r="P240" s="49"/>
      <c r="Q240" s="81"/>
      <c r="R240" s="81"/>
      <c r="S240" s="82"/>
      <c r="T240" s="47"/>
      <c r="U240" s="83"/>
      <c r="V240" s="24"/>
      <c r="W240" s="91"/>
      <c r="X240" s="20"/>
      <c r="Y240" s="114"/>
      <c r="Z240" s="43"/>
      <c r="AA240" s="41"/>
      <c r="AB240" s="25"/>
      <c r="AC240" s="23"/>
      <c r="AD240" s="23"/>
      <c r="AE240" s="154"/>
      <c r="AF240" s="155"/>
      <c r="AG240" s="155"/>
      <c r="AH240" s="31"/>
      <c r="AI240" s="31"/>
      <c r="AJ240" s="31"/>
      <c r="AK240" s="31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  <c r="IW240" s="25"/>
      <c r="IX240" s="25"/>
      <c r="IY240" s="25"/>
      <c r="IZ240" s="25"/>
      <c r="JA240" s="25"/>
      <c r="JB240" s="25"/>
      <c r="JC240" s="25"/>
      <c r="JD240" s="25"/>
      <c r="JE240" s="25"/>
      <c r="JF240" s="25"/>
      <c r="JG240" s="25"/>
      <c r="JH240" s="25"/>
      <c r="JI240" s="25"/>
      <c r="JJ240" s="25"/>
      <c r="JK240" s="25"/>
      <c r="JL240" s="25"/>
      <c r="JM240" s="25"/>
      <c r="JN240" s="25"/>
      <c r="JO240" s="25"/>
      <c r="JP240" s="25"/>
      <c r="JQ240" s="25"/>
      <c r="JR240" s="25"/>
      <c r="JS240" s="25"/>
      <c r="JT240" s="25"/>
      <c r="JU240" s="25"/>
      <c r="JV240" s="25"/>
      <c r="JW240" s="25"/>
      <c r="JX240" s="25"/>
      <c r="JY240" s="25"/>
      <c r="JZ240" s="25"/>
      <c r="KA240" s="25"/>
      <c r="KB240" s="25"/>
      <c r="KC240" s="25"/>
      <c r="KD240" s="25"/>
      <c r="KE240" s="25"/>
      <c r="KF240" s="25"/>
      <c r="KG240" s="25"/>
      <c r="KH240" s="25"/>
      <c r="KI240" s="25"/>
      <c r="KJ240" s="25"/>
      <c r="KK240" s="25"/>
      <c r="KL240" s="25"/>
      <c r="KM240" s="25"/>
      <c r="KN240" s="25"/>
      <c r="KO240" s="25"/>
      <c r="KP240" s="25"/>
      <c r="KQ240" s="25"/>
      <c r="KR240" s="25"/>
      <c r="KS240" s="25"/>
      <c r="KT240" s="25"/>
      <c r="KU240" s="25"/>
      <c r="KV240" s="25"/>
      <c r="KW240" s="25"/>
      <c r="KX240" s="25"/>
      <c r="KY240" s="25"/>
      <c r="KZ240" s="25"/>
      <c r="LA240" s="25"/>
      <c r="LB240" s="25"/>
      <c r="LC240" s="25"/>
      <c r="LD240" s="25"/>
      <c r="LE240" s="25"/>
      <c r="LF240" s="25"/>
      <c r="LG240" s="25"/>
      <c r="LH240" s="25"/>
      <c r="LI240" s="25"/>
      <c r="LJ240" s="25"/>
      <c r="LK240" s="25"/>
      <c r="LL240" s="25"/>
      <c r="LM240" s="25"/>
      <c r="LN240" s="25"/>
      <c r="LO240" s="25"/>
      <c r="LP240" s="25"/>
      <c r="LQ240" s="25"/>
      <c r="LR240" s="25"/>
      <c r="LS240" s="25"/>
      <c r="LT240" s="25"/>
      <c r="LU240" s="25"/>
      <c r="LV240" s="25"/>
      <c r="LW240" s="25"/>
      <c r="LX240" s="25"/>
      <c r="LY240" s="25"/>
      <c r="LZ240" s="25"/>
      <c r="MA240" s="25"/>
      <c r="MB240" s="25"/>
      <c r="MC240" s="25"/>
      <c r="MD240" s="25"/>
      <c r="ME240" s="25"/>
      <c r="MF240" s="25"/>
      <c r="MG240" s="25"/>
      <c r="MH240" s="25"/>
    </row>
    <row r="241" spans="1:346" s="26" customFormat="1">
      <c r="A241" s="21"/>
      <c r="B241" s="22"/>
      <c r="C241" s="4"/>
      <c r="D241" s="7"/>
      <c r="E241" s="7"/>
      <c r="F241" s="4"/>
      <c r="G241" s="4"/>
      <c r="H241" s="4"/>
      <c r="I241" s="77"/>
      <c r="J241" s="156"/>
      <c r="K241" s="77"/>
      <c r="L241" s="78"/>
      <c r="M241" s="78"/>
      <c r="N241" s="49"/>
      <c r="O241" s="49" t="e">
        <f>IF($E241="posto/hora extra",0,IF(OR(E241="posto/dia",E241="posto/dia líder"),VLOOKUP($C241,'Indicadores Financeiros'!$A$107:$J$119,8,FALSE)+VLOOKUP($C241,'Indicadores Financeiros'!$A$107:$J$119,9,FALSE)+VLOOKUP($C241,'Indicadores Financeiros'!$A$107:$J$119,10,FALSE),IF('Indicadores Financeiros'!$J$91=0,0,(VLOOKUP($C241,'Indicadores Financeiros'!$A$107:$J$119,9,FALSE)+VLOOKUP('Relatório Custo'!$C241,'Indicadores Financeiros'!$A$107:$J$119,10,FALSE)+('Indicadores Financeiros'!$J$87*'Relatório Custo'!$H241)))))</f>
        <v>#N/A</v>
      </c>
      <c r="P241" s="49"/>
      <c r="Q241" s="81"/>
      <c r="R241" s="81"/>
      <c r="S241" s="82"/>
      <c r="T241" s="47"/>
      <c r="U241" s="83"/>
      <c r="V241" s="24"/>
      <c r="W241" s="91"/>
      <c r="X241" s="20"/>
      <c r="Y241" s="114"/>
      <c r="Z241" s="43"/>
      <c r="AA241" s="41"/>
      <c r="AB241" s="25"/>
      <c r="AC241" s="23"/>
      <c r="AD241" s="23"/>
      <c r="AE241" s="154"/>
      <c r="AF241" s="155"/>
      <c r="AG241" s="155"/>
      <c r="AH241" s="31"/>
      <c r="AI241" s="31"/>
      <c r="AJ241" s="31"/>
      <c r="AK241" s="31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  <c r="IW241" s="25"/>
      <c r="IX241" s="25"/>
      <c r="IY241" s="25"/>
      <c r="IZ241" s="25"/>
      <c r="JA241" s="25"/>
      <c r="JB241" s="25"/>
      <c r="JC241" s="25"/>
      <c r="JD241" s="25"/>
      <c r="JE241" s="25"/>
      <c r="JF241" s="25"/>
      <c r="JG241" s="25"/>
      <c r="JH241" s="25"/>
      <c r="JI241" s="25"/>
      <c r="JJ241" s="25"/>
      <c r="JK241" s="25"/>
      <c r="JL241" s="25"/>
      <c r="JM241" s="25"/>
      <c r="JN241" s="25"/>
      <c r="JO241" s="25"/>
      <c r="JP241" s="25"/>
      <c r="JQ241" s="25"/>
      <c r="JR241" s="25"/>
      <c r="JS241" s="25"/>
      <c r="JT241" s="25"/>
      <c r="JU241" s="25"/>
      <c r="JV241" s="25"/>
      <c r="JW241" s="25"/>
      <c r="JX241" s="25"/>
      <c r="JY241" s="25"/>
      <c r="JZ241" s="25"/>
      <c r="KA241" s="25"/>
      <c r="KB241" s="25"/>
      <c r="KC241" s="25"/>
      <c r="KD241" s="25"/>
      <c r="KE241" s="25"/>
      <c r="KF241" s="25"/>
      <c r="KG241" s="25"/>
      <c r="KH241" s="25"/>
      <c r="KI241" s="25"/>
      <c r="KJ241" s="25"/>
      <c r="KK241" s="25"/>
      <c r="KL241" s="25"/>
      <c r="KM241" s="25"/>
      <c r="KN241" s="25"/>
      <c r="KO241" s="25"/>
      <c r="KP241" s="25"/>
      <c r="KQ241" s="25"/>
      <c r="KR241" s="25"/>
      <c r="KS241" s="25"/>
      <c r="KT241" s="25"/>
      <c r="KU241" s="25"/>
      <c r="KV241" s="25"/>
      <c r="KW241" s="25"/>
      <c r="KX241" s="25"/>
      <c r="KY241" s="25"/>
      <c r="KZ241" s="25"/>
      <c r="LA241" s="25"/>
      <c r="LB241" s="25"/>
      <c r="LC241" s="25"/>
      <c r="LD241" s="25"/>
      <c r="LE241" s="25"/>
      <c r="LF241" s="25"/>
      <c r="LG241" s="25"/>
      <c r="LH241" s="25"/>
      <c r="LI241" s="25"/>
      <c r="LJ241" s="25"/>
      <c r="LK241" s="25"/>
      <c r="LL241" s="25"/>
      <c r="LM241" s="25"/>
      <c r="LN241" s="25"/>
      <c r="LO241" s="25"/>
      <c r="LP241" s="25"/>
      <c r="LQ241" s="25"/>
      <c r="LR241" s="25"/>
      <c r="LS241" s="25"/>
      <c r="LT241" s="25"/>
      <c r="LU241" s="25"/>
      <c r="LV241" s="25"/>
      <c r="LW241" s="25"/>
      <c r="LX241" s="25"/>
      <c r="LY241" s="25"/>
      <c r="LZ241" s="25"/>
      <c r="MA241" s="25"/>
      <c r="MB241" s="25"/>
      <c r="MC241" s="25"/>
      <c r="MD241" s="25"/>
      <c r="ME241" s="25"/>
      <c r="MF241" s="25"/>
      <c r="MG241" s="25"/>
      <c r="MH241" s="25"/>
    </row>
    <row r="242" spans="1:346" s="26" customFormat="1">
      <c r="A242" s="21"/>
      <c r="B242" s="22"/>
      <c r="C242" s="4"/>
      <c r="D242" s="7"/>
      <c r="E242" s="7"/>
      <c r="F242" s="4"/>
      <c r="G242" s="4"/>
      <c r="H242" s="4"/>
      <c r="I242" s="77"/>
      <c r="J242" s="156"/>
      <c r="K242" s="77"/>
      <c r="L242" s="78"/>
      <c r="M242" s="78"/>
      <c r="N242" s="49"/>
      <c r="O242" s="49" t="e">
        <f>IF($E242="posto/hora extra",0,IF(OR(E242="posto/dia",E242="posto/dia líder"),VLOOKUP($C242,'Indicadores Financeiros'!$A$107:$J$119,8,FALSE)+VLOOKUP($C242,'Indicadores Financeiros'!$A$107:$J$119,9,FALSE)+VLOOKUP($C242,'Indicadores Financeiros'!$A$107:$J$119,10,FALSE),IF('Indicadores Financeiros'!$J$91=0,0,(VLOOKUP($C242,'Indicadores Financeiros'!$A$107:$J$119,9,FALSE)+VLOOKUP('Relatório Custo'!$C242,'Indicadores Financeiros'!$A$107:$J$119,10,FALSE)+('Indicadores Financeiros'!$J$87*'Relatório Custo'!$H242)))))</f>
        <v>#N/A</v>
      </c>
      <c r="P242" s="49"/>
      <c r="Q242" s="81"/>
      <c r="R242" s="81"/>
      <c r="S242" s="82"/>
      <c r="T242" s="47"/>
      <c r="U242" s="83"/>
      <c r="V242" s="24"/>
      <c r="W242" s="91"/>
      <c r="X242" s="20"/>
      <c r="Y242" s="114"/>
      <c r="Z242" s="43"/>
      <c r="AA242" s="41"/>
      <c r="AB242" s="25"/>
      <c r="AC242" s="23"/>
      <c r="AD242" s="23"/>
      <c r="AE242" s="154"/>
      <c r="AF242" s="155"/>
      <c r="AG242" s="155"/>
      <c r="AH242" s="31"/>
      <c r="AI242" s="31"/>
      <c r="AJ242" s="31"/>
      <c r="AK242" s="31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  <c r="IW242" s="25"/>
      <c r="IX242" s="25"/>
      <c r="IY242" s="25"/>
      <c r="IZ242" s="25"/>
      <c r="JA242" s="25"/>
      <c r="JB242" s="25"/>
      <c r="JC242" s="25"/>
      <c r="JD242" s="25"/>
      <c r="JE242" s="25"/>
      <c r="JF242" s="25"/>
      <c r="JG242" s="25"/>
      <c r="JH242" s="25"/>
      <c r="JI242" s="25"/>
      <c r="JJ242" s="25"/>
      <c r="JK242" s="25"/>
      <c r="JL242" s="25"/>
      <c r="JM242" s="25"/>
      <c r="JN242" s="25"/>
      <c r="JO242" s="25"/>
      <c r="JP242" s="25"/>
      <c r="JQ242" s="25"/>
      <c r="JR242" s="25"/>
      <c r="JS242" s="25"/>
      <c r="JT242" s="25"/>
      <c r="JU242" s="25"/>
      <c r="JV242" s="25"/>
      <c r="JW242" s="25"/>
      <c r="JX242" s="25"/>
      <c r="JY242" s="25"/>
      <c r="JZ242" s="25"/>
      <c r="KA242" s="25"/>
      <c r="KB242" s="25"/>
      <c r="KC242" s="25"/>
      <c r="KD242" s="25"/>
      <c r="KE242" s="25"/>
      <c r="KF242" s="25"/>
      <c r="KG242" s="25"/>
      <c r="KH242" s="25"/>
      <c r="KI242" s="25"/>
      <c r="KJ242" s="25"/>
      <c r="KK242" s="25"/>
      <c r="KL242" s="25"/>
      <c r="KM242" s="25"/>
      <c r="KN242" s="25"/>
      <c r="KO242" s="25"/>
      <c r="KP242" s="25"/>
      <c r="KQ242" s="25"/>
      <c r="KR242" s="25"/>
      <c r="KS242" s="25"/>
      <c r="KT242" s="25"/>
      <c r="KU242" s="25"/>
      <c r="KV242" s="25"/>
      <c r="KW242" s="25"/>
      <c r="KX242" s="25"/>
      <c r="KY242" s="25"/>
      <c r="KZ242" s="25"/>
      <c r="LA242" s="25"/>
      <c r="LB242" s="25"/>
      <c r="LC242" s="25"/>
      <c r="LD242" s="25"/>
      <c r="LE242" s="25"/>
      <c r="LF242" s="25"/>
      <c r="LG242" s="25"/>
      <c r="LH242" s="25"/>
      <c r="LI242" s="25"/>
      <c r="LJ242" s="25"/>
      <c r="LK242" s="25"/>
      <c r="LL242" s="25"/>
      <c r="LM242" s="25"/>
      <c r="LN242" s="25"/>
      <c r="LO242" s="25"/>
      <c r="LP242" s="25"/>
      <c r="LQ242" s="25"/>
      <c r="LR242" s="25"/>
      <c r="LS242" s="25"/>
      <c r="LT242" s="25"/>
      <c r="LU242" s="25"/>
      <c r="LV242" s="25"/>
      <c r="LW242" s="25"/>
      <c r="LX242" s="25"/>
      <c r="LY242" s="25"/>
      <c r="LZ242" s="25"/>
      <c r="MA242" s="25"/>
      <c r="MB242" s="25"/>
      <c r="MC242" s="25"/>
      <c r="MD242" s="25"/>
      <c r="ME242" s="25"/>
      <c r="MF242" s="25"/>
      <c r="MG242" s="25"/>
      <c r="MH242" s="25"/>
    </row>
    <row r="243" spans="1:346" s="26" customFormat="1">
      <c r="A243" s="21"/>
      <c r="B243" s="22"/>
      <c r="C243" s="4"/>
      <c r="D243" s="7"/>
      <c r="E243" s="7"/>
      <c r="F243" s="4"/>
      <c r="G243" s="4"/>
      <c r="H243" s="4"/>
      <c r="I243" s="77"/>
      <c r="J243" s="156"/>
      <c r="K243" s="77"/>
      <c r="L243" s="78"/>
      <c r="M243" s="78"/>
      <c r="N243" s="49"/>
      <c r="O243" s="49" t="e">
        <f>IF($E243="posto/hora extra",0,IF(OR(E243="posto/dia",E243="posto/dia líder"),VLOOKUP($C243,'Indicadores Financeiros'!$A$107:$J$119,8,FALSE)+VLOOKUP($C243,'Indicadores Financeiros'!$A$107:$J$119,9,FALSE)+VLOOKUP($C243,'Indicadores Financeiros'!$A$107:$J$119,10,FALSE),IF('Indicadores Financeiros'!$J$91=0,0,(VLOOKUP($C243,'Indicadores Financeiros'!$A$107:$J$119,9,FALSE)+VLOOKUP('Relatório Custo'!$C243,'Indicadores Financeiros'!$A$107:$J$119,10,FALSE)+('Indicadores Financeiros'!$J$87*'Relatório Custo'!$H243)))))</f>
        <v>#N/A</v>
      </c>
      <c r="P243" s="49"/>
      <c r="Q243" s="81"/>
      <c r="R243" s="81"/>
      <c r="S243" s="82"/>
      <c r="T243" s="47"/>
      <c r="U243" s="83"/>
      <c r="V243" s="24"/>
      <c r="W243" s="91"/>
      <c r="X243" s="20"/>
      <c r="Y243" s="114"/>
      <c r="Z243" s="43"/>
      <c r="AA243" s="41"/>
      <c r="AB243" s="25"/>
      <c r="AC243" s="23"/>
      <c r="AD243" s="23"/>
      <c r="AE243" s="154"/>
      <c r="AF243" s="155"/>
      <c r="AG243" s="155"/>
      <c r="AH243" s="31"/>
      <c r="AI243" s="31"/>
      <c r="AJ243" s="31"/>
      <c r="AK243" s="31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  <c r="IW243" s="25"/>
      <c r="IX243" s="25"/>
      <c r="IY243" s="25"/>
      <c r="IZ243" s="25"/>
      <c r="JA243" s="25"/>
      <c r="JB243" s="25"/>
      <c r="JC243" s="25"/>
      <c r="JD243" s="25"/>
      <c r="JE243" s="25"/>
      <c r="JF243" s="25"/>
      <c r="JG243" s="25"/>
      <c r="JH243" s="25"/>
      <c r="JI243" s="25"/>
      <c r="JJ243" s="25"/>
      <c r="JK243" s="25"/>
      <c r="JL243" s="25"/>
      <c r="JM243" s="25"/>
      <c r="JN243" s="25"/>
      <c r="JO243" s="25"/>
      <c r="JP243" s="25"/>
      <c r="JQ243" s="25"/>
      <c r="JR243" s="25"/>
      <c r="JS243" s="25"/>
      <c r="JT243" s="25"/>
      <c r="JU243" s="25"/>
      <c r="JV243" s="25"/>
      <c r="JW243" s="25"/>
      <c r="JX243" s="25"/>
      <c r="JY243" s="25"/>
      <c r="JZ243" s="25"/>
      <c r="KA243" s="25"/>
      <c r="KB243" s="25"/>
      <c r="KC243" s="25"/>
      <c r="KD243" s="25"/>
      <c r="KE243" s="25"/>
      <c r="KF243" s="25"/>
      <c r="KG243" s="25"/>
      <c r="KH243" s="25"/>
      <c r="KI243" s="25"/>
      <c r="KJ243" s="25"/>
      <c r="KK243" s="25"/>
      <c r="KL243" s="25"/>
      <c r="KM243" s="25"/>
      <c r="KN243" s="25"/>
      <c r="KO243" s="25"/>
      <c r="KP243" s="25"/>
      <c r="KQ243" s="25"/>
      <c r="KR243" s="25"/>
      <c r="KS243" s="25"/>
      <c r="KT243" s="25"/>
      <c r="KU243" s="25"/>
      <c r="KV243" s="25"/>
      <c r="KW243" s="25"/>
      <c r="KX243" s="25"/>
      <c r="KY243" s="25"/>
      <c r="KZ243" s="25"/>
      <c r="LA243" s="25"/>
      <c r="LB243" s="25"/>
      <c r="LC243" s="25"/>
      <c r="LD243" s="25"/>
      <c r="LE243" s="25"/>
      <c r="LF243" s="25"/>
      <c r="LG243" s="25"/>
      <c r="LH243" s="25"/>
      <c r="LI243" s="25"/>
      <c r="LJ243" s="25"/>
      <c r="LK243" s="25"/>
      <c r="LL243" s="25"/>
      <c r="LM243" s="25"/>
      <c r="LN243" s="25"/>
      <c r="LO243" s="25"/>
      <c r="LP243" s="25"/>
      <c r="LQ243" s="25"/>
      <c r="LR243" s="25"/>
      <c r="LS243" s="25"/>
      <c r="LT243" s="25"/>
      <c r="LU243" s="25"/>
      <c r="LV243" s="25"/>
      <c r="LW243" s="25"/>
      <c r="LX243" s="25"/>
      <c r="LY243" s="25"/>
      <c r="LZ243" s="25"/>
      <c r="MA243" s="25"/>
      <c r="MB243" s="25"/>
      <c r="MC243" s="25"/>
      <c r="MD243" s="25"/>
      <c r="ME243" s="25"/>
      <c r="MF243" s="25"/>
      <c r="MG243" s="25"/>
      <c r="MH243" s="25"/>
    </row>
    <row r="244" spans="1:346" s="26" customFormat="1">
      <c r="A244" s="21"/>
      <c r="B244" s="22"/>
      <c r="C244" s="4"/>
      <c r="D244" s="7"/>
      <c r="E244" s="7"/>
      <c r="F244" s="4"/>
      <c r="G244" s="4"/>
      <c r="H244" s="4"/>
      <c r="I244" s="77"/>
      <c r="J244" s="156"/>
      <c r="K244" s="77"/>
      <c r="L244" s="78"/>
      <c r="M244" s="78"/>
      <c r="N244" s="49"/>
      <c r="O244" s="49" t="e">
        <f>IF($E244="posto/hora extra",0,IF(OR(E244="posto/dia",E244="posto/dia líder"),VLOOKUP($C244,'Indicadores Financeiros'!$A$107:$J$119,8,FALSE)+VLOOKUP($C244,'Indicadores Financeiros'!$A$107:$J$119,9,FALSE)+VLOOKUP($C244,'Indicadores Financeiros'!$A$107:$J$119,10,FALSE),IF('Indicadores Financeiros'!$J$91=0,0,(VLOOKUP($C244,'Indicadores Financeiros'!$A$107:$J$119,9,FALSE)+VLOOKUP('Relatório Custo'!$C244,'Indicadores Financeiros'!$A$107:$J$119,10,FALSE)+('Indicadores Financeiros'!$J$87*'Relatório Custo'!$H244)))))</f>
        <v>#N/A</v>
      </c>
      <c r="P244" s="49"/>
      <c r="Q244" s="81"/>
      <c r="R244" s="81"/>
      <c r="S244" s="82"/>
      <c r="T244" s="47"/>
      <c r="U244" s="83"/>
      <c r="V244" s="24"/>
      <c r="W244" s="91"/>
      <c r="X244" s="20"/>
      <c r="Y244" s="114"/>
      <c r="Z244" s="43"/>
      <c r="AA244" s="41"/>
      <c r="AB244" s="25"/>
      <c r="AC244" s="23"/>
      <c r="AD244" s="23"/>
      <c r="AE244" s="154"/>
      <c r="AF244" s="155"/>
      <c r="AG244" s="155"/>
      <c r="AH244" s="31"/>
      <c r="AI244" s="31"/>
      <c r="AJ244" s="31"/>
      <c r="AK244" s="31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  <c r="IV244" s="25"/>
      <c r="IW244" s="25"/>
      <c r="IX244" s="25"/>
      <c r="IY244" s="25"/>
      <c r="IZ244" s="25"/>
      <c r="JA244" s="25"/>
      <c r="JB244" s="25"/>
      <c r="JC244" s="25"/>
      <c r="JD244" s="25"/>
      <c r="JE244" s="25"/>
      <c r="JF244" s="25"/>
      <c r="JG244" s="25"/>
      <c r="JH244" s="25"/>
      <c r="JI244" s="25"/>
      <c r="JJ244" s="25"/>
      <c r="JK244" s="25"/>
      <c r="JL244" s="25"/>
      <c r="JM244" s="25"/>
      <c r="JN244" s="25"/>
      <c r="JO244" s="25"/>
      <c r="JP244" s="25"/>
      <c r="JQ244" s="25"/>
      <c r="JR244" s="25"/>
      <c r="JS244" s="25"/>
      <c r="JT244" s="25"/>
      <c r="JU244" s="25"/>
      <c r="JV244" s="25"/>
      <c r="JW244" s="25"/>
      <c r="JX244" s="25"/>
      <c r="JY244" s="25"/>
      <c r="JZ244" s="25"/>
      <c r="KA244" s="25"/>
      <c r="KB244" s="25"/>
      <c r="KC244" s="25"/>
      <c r="KD244" s="25"/>
      <c r="KE244" s="25"/>
      <c r="KF244" s="25"/>
      <c r="KG244" s="25"/>
      <c r="KH244" s="25"/>
      <c r="KI244" s="25"/>
      <c r="KJ244" s="25"/>
      <c r="KK244" s="25"/>
      <c r="KL244" s="25"/>
      <c r="KM244" s="25"/>
      <c r="KN244" s="25"/>
      <c r="KO244" s="25"/>
      <c r="KP244" s="25"/>
      <c r="KQ244" s="25"/>
      <c r="KR244" s="25"/>
      <c r="KS244" s="25"/>
      <c r="KT244" s="25"/>
      <c r="KU244" s="25"/>
      <c r="KV244" s="25"/>
      <c r="KW244" s="25"/>
      <c r="KX244" s="25"/>
      <c r="KY244" s="25"/>
      <c r="KZ244" s="25"/>
      <c r="LA244" s="25"/>
      <c r="LB244" s="25"/>
      <c r="LC244" s="25"/>
      <c r="LD244" s="25"/>
      <c r="LE244" s="25"/>
      <c r="LF244" s="25"/>
      <c r="LG244" s="25"/>
      <c r="LH244" s="25"/>
      <c r="LI244" s="25"/>
      <c r="LJ244" s="25"/>
      <c r="LK244" s="25"/>
      <c r="LL244" s="25"/>
      <c r="LM244" s="25"/>
      <c r="LN244" s="25"/>
      <c r="LO244" s="25"/>
      <c r="LP244" s="25"/>
      <c r="LQ244" s="25"/>
      <c r="LR244" s="25"/>
      <c r="LS244" s="25"/>
      <c r="LT244" s="25"/>
      <c r="LU244" s="25"/>
      <c r="LV244" s="25"/>
      <c r="LW244" s="25"/>
      <c r="LX244" s="25"/>
      <c r="LY244" s="25"/>
      <c r="LZ244" s="25"/>
      <c r="MA244" s="25"/>
      <c r="MB244" s="25"/>
      <c r="MC244" s="25"/>
      <c r="MD244" s="25"/>
      <c r="ME244" s="25"/>
      <c r="MF244" s="25"/>
      <c r="MG244" s="25"/>
      <c r="MH244" s="25"/>
    </row>
    <row r="245" spans="1:346" s="26" customFormat="1">
      <c r="A245" s="21"/>
      <c r="B245" s="22"/>
      <c r="C245" s="4"/>
      <c r="D245" s="7"/>
      <c r="E245" s="7"/>
      <c r="F245" s="4"/>
      <c r="G245" s="4"/>
      <c r="H245" s="4"/>
      <c r="I245" s="77"/>
      <c r="J245" s="156"/>
      <c r="K245" s="77"/>
      <c r="L245" s="78"/>
      <c r="M245" s="78"/>
      <c r="N245" s="49"/>
      <c r="O245" s="49" t="e">
        <f>IF($E245="posto/hora extra",0,IF(OR(E245="posto/dia",E245="posto/dia líder"),VLOOKUP($C245,'Indicadores Financeiros'!$A$107:$J$119,8,FALSE)+VLOOKUP($C245,'Indicadores Financeiros'!$A$107:$J$119,9,FALSE)+VLOOKUP($C245,'Indicadores Financeiros'!$A$107:$J$119,10,FALSE),IF('Indicadores Financeiros'!$J$91=0,0,(VLOOKUP($C245,'Indicadores Financeiros'!$A$107:$J$119,9,FALSE)+VLOOKUP('Relatório Custo'!$C245,'Indicadores Financeiros'!$A$107:$J$119,10,FALSE)+('Indicadores Financeiros'!$J$87*'Relatório Custo'!$H245)))))</f>
        <v>#N/A</v>
      </c>
      <c r="P245" s="49"/>
      <c r="Q245" s="81"/>
      <c r="R245" s="81"/>
      <c r="S245" s="82"/>
      <c r="T245" s="47"/>
      <c r="U245" s="83"/>
      <c r="V245" s="24"/>
      <c r="W245" s="91"/>
      <c r="X245" s="20"/>
      <c r="Y245" s="114"/>
      <c r="Z245" s="43"/>
      <c r="AA245" s="41"/>
      <c r="AB245" s="25"/>
      <c r="AC245" s="23"/>
      <c r="AD245" s="23"/>
      <c r="AE245" s="154"/>
      <c r="AF245" s="155"/>
      <c r="AG245" s="155"/>
      <c r="AH245" s="31"/>
      <c r="AI245" s="31"/>
      <c r="AJ245" s="31"/>
      <c r="AK245" s="31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  <c r="IV245" s="25"/>
      <c r="IW245" s="25"/>
      <c r="IX245" s="25"/>
      <c r="IY245" s="25"/>
      <c r="IZ245" s="25"/>
      <c r="JA245" s="25"/>
      <c r="JB245" s="25"/>
      <c r="JC245" s="25"/>
      <c r="JD245" s="25"/>
      <c r="JE245" s="25"/>
      <c r="JF245" s="25"/>
      <c r="JG245" s="25"/>
      <c r="JH245" s="25"/>
      <c r="JI245" s="25"/>
      <c r="JJ245" s="25"/>
      <c r="JK245" s="25"/>
      <c r="JL245" s="25"/>
      <c r="JM245" s="25"/>
      <c r="JN245" s="25"/>
      <c r="JO245" s="25"/>
      <c r="JP245" s="25"/>
      <c r="JQ245" s="25"/>
      <c r="JR245" s="25"/>
      <c r="JS245" s="25"/>
      <c r="JT245" s="25"/>
      <c r="JU245" s="25"/>
      <c r="JV245" s="25"/>
      <c r="JW245" s="25"/>
      <c r="JX245" s="25"/>
      <c r="JY245" s="25"/>
      <c r="JZ245" s="25"/>
      <c r="KA245" s="25"/>
      <c r="KB245" s="25"/>
      <c r="KC245" s="25"/>
      <c r="KD245" s="25"/>
      <c r="KE245" s="25"/>
      <c r="KF245" s="25"/>
      <c r="KG245" s="25"/>
      <c r="KH245" s="25"/>
      <c r="KI245" s="25"/>
      <c r="KJ245" s="25"/>
      <c r="KK245" s="25"/>
      <c r="KL245" s="25"/>
      <c r="KM245" s="25"/>
      <c r="KN245" s="25"/>
      <c r="KO245" s="25"/>
      <c r="KP245" s="25"/>
      <c r="KQ245" s="25"/>
      <c r="KR245" s="25"/>
      <c r="KS245" s="25"/>
      <c r="KT245" s="25"/>
      <c r="KU245" s="25"/>
      <c r="KV245" s="25"/>
      <c r="KW245" s="25"/>
      <c r="KX245" s="25"/>
      <c r="KY245" s="25"/>
      <c r="KZ245" s="25"/>
      <c r="LA245" s="25"/>
      <c r="LB245" s="25"/>
      <c r="LC245" s="25"/>
      <c r="LD245" s="25"/>
      <c r="LE245" s="25"/>
      <c r="LF245" s="25"/>
      <c r="LG245" s="25"/>
      <c r="LH245" s="25"/>
      <c r="LI245" s="25"/>
      <c r="LJ245" s="25"/>
      <c r="LK245" s="25"/>
      <c r="LL245" s="25"/>
      <c r="LM245" s="25"/>
      <c r="LN245" s="25"/>
      <c r="LO245" s="25"/>
      <c r="LP245" s="25"/>
      <c r="LQ245" s="25"/>
      <c r="LR245" s="25"/>
      <c r="LS245" s="25"/>
      <c r="LT245" s="25"/>
      <c r="LU245" s="25"/>
      <c r="LV245" s="25"/>
      <c r="LW245" s="25"/>
      <c r="LX245" s="25"/>
      <c r="LY245" s="25"/>
      <c r="LZ245" s="25"/>
      <c r="MA245" s="25"/>
      <c r="MB245" s="25"/>
      <c r="MC245" s="25"/>
      <c r="MD245" s="25"/>
      <c r="ME245" s="25"/>
      <c r="MF245" s="25"/>
      <c r="MG245" s="25"/>
      <c r="MH245" s="25"/>
    </row>
    <row r="246" spans="1:346" s="26" customFormat="1">
      <c r="A246" s="21"/>
      <c r="B246" s="22"/>
      <c r="C246" s="4"/>
      <c r="D246" s="7"/>
      <c r="E246" s="7"/>
      <c r="F246" s="4"/>
      <c r="G246" s="4"/>
      <c r="H246" s="4"/>
      <c r="I246" s="77"/>
      <c r="J246" s="156"/>
      <c r="K246" s="77"/>
      <c r="L246" s="78"/>
      <c r="M246" s="78"/>
      <c r="N246" s="49"/>
      <c r="O246" s="49" t="e">
        <f>IF($E246="posto/hora extra",0,IF(OR(E246="posto/dia",E246="posto/dia líder"),VLOOKUP($C246,'Indicadores Financeiros'!$A$107:$J$119,8,FALSE)+VLOOKUP($C246,'Indicadores Financeiros'!$A$107:$J$119,9,FALSE)+VLOOKUP($C246,'Indicadores Financeiros'!$A$107:$J$119,10,FALSE),IF('Indicadores Financeiros'!$J$91=0,0,(VLOOKUP($C246,'Indicadores Financeiros'!$A$107:$J$119,9,FALSE)+VLOOKUP('Relatório Custo'!$C246,'Indicadores Financeiros'!$A$107:$J$119,10,FALSE)+('Indicadores Financeiros'!$J$87*'Relatório Custo'!$H246)))))</f>
        <v>#N/A</v>
      </c>
      <c r="P246" s="49"/>
      <c r="Q246" s="81"/>
      <c r="R246" s="81"/>
      <c r="S246" s="82"/>
      <c r="T246" s="47"/>
      <c r="U246" s="83"/>
      <c r="V246" s="24"/>
      <c r="W246" s="91"/>
      <c r="X246" s="20"/>
      <c r="Y246" s="114"/>
      <c r="Z246" s="43"/>
      <c r="AA246" s="41"/>
      <c r="AB246" s="25"/>
      <c r="AC246" s="23"/>
      <c r="AD246" s="23"/>
      <c r="AE246" s="154"/>
      <c r="AF246" s="155"/>
      <c r="AG246" s="155"/>
      <c r="AH246" s="31"/>
      <c r="AI246" s="31"/>
      <c r="AJ246" s="31"/>
      <c r="AK246" s="31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  <c r="IW246" s="25"/>
      <c r="IX246" s="25"/>
      <c r="IY246" s="25"/>
      <c r="IZ246" s="25"/>
      <c r="JA246" s="25"/>
      <c r="JB246" s="25"/>
      <c r="JC246" s="25"/>
      <c r="JD246" s="25"/>
      <c r="JE246" s="25"/>
      <c r="JF246" s="25"/>
      <c r="JG246" s="25"/>
      <c r="JH246" s="25"/>
      <c r="JI246" s="25"/>
      <c r="JJ246" s="25"/>
      <c r="JK246" s="25"/>
      <c r="JL246" s="25"/>
      <c r="JM246" s="25"/>
      <c r="JN246" s="25"/>
      <c r="JO246" s="25"/>
      <c r="JP246" s="25"/>
      <c r="JQ246" s="25"/>
      <c r="JR246" s="25"/>
      <c r="JS246" s="25"/>
      <c r="JT246" s="25"/>
      <c r="JU246" s="25"/>
      <c r="JV246" s="25"/>
      <c r="JW246" s="25"/>
      <c r="JX246" s="25"/>
      <c r="JY246" s="25"/>
      <c r="JZ246" s="25"/>
      <c r="KA246" s="25"/>
      <c r="KB246" s="25"/>
      <c r="KC246" s="25"/>
      <c r="KD246" s="25"/>
      <c r="KE246" s="25"/>
      <c r="KF246" s="25"/>
      <c r="KG246" s="25"/>
      <c r="KH246" s="25"/>
      <c r="KI246" s="25"/>
      <c r="KJ246" s="25"/>
      <c r="KK246" s="25"/>
      <c r="KL246" s="25"/>
      <c r="KM246" s="25"/>
      <c r="KN246" s="25"/>
      <c r="KO246" s="25"/>
      <c r="KP246" s="25"/>
      <c r="KQ246" s="25"/>
      <c r="KR246" s="25"/>
      <c r="KS246" s="25"/>
      <c r="KT246" s="25"/>
      <c r="KU246" s="25"/>
      <c r="KV246" s="25"/>
      <c r="KW246" s="25"/>
      <c r="KX246" s="25"/>
      <c r="KY246" s="25"/>
      <c r="KZ246" s="25"/>
      <c r="LA246" s="25"/>
      <c r="LB246" s="25"/>
      <c r="LC246" s="25"/>
      <c r="LD246" s="25"/>
      <c r="LE246" s="25"/>
      <c r="LF246" s="25"/>
      <c r="LG246" s="25"/>
      <c r="LH246" s="25"/>
      <c r="LI246" s="25"/>
      <c r="LJ246" s="25"/>
      <c r="LK246" s="25"/>
      <c r="LL246" s="25"/>
      <c r="LM246" s="25"/>
      <c r="LN246" s="25"/>
      <c r="LO246" s="25"/>
      <c r="LP246" s="25"/>
      <c r="LQ246" s="25"/>
      <c r="LR246" s="25"/>
      <c r="LS246" s="25"/>
      <c r="LT246" s="25"/>
      <c r="LU246" s="25"/>
      <c r="LV246" s="25"/>
      <c r="LW246" s="25"/>
      <c r="LX246" s="25"/>
      <c r="LY246" s="25"/>
      <c r="LZ246" s="25"/>
      <c r="MA246" s="25"/>
      <c r="MB246" s="25"/>
      <c r="MC246" s="25"/>
      <c r="MD246" s="25"/>
      <c r="ME246" s="25"/>
      <c r="MF246" s="25"/>
      <c r="MG246" s="25"/>
      <c r="MH246" s="25"/>
    </row>
    <row r="247" spans="1:346" s="26" customFormat="1">
      <c r="A247" s="21"/>
      <c r="B247" s="22"/>
      <c r="C247" s="4"/>
      <c r="D247" s="7"/>
      <c r="E247" s="7"/>
      <c r="F247" s="4"/>
      <c r="G247" s="4"/>
      <c r="H247" s="4"/>
      <c r="I247" s="77"/>
      <c r="J247" s="156"/>
      <c r="K247" s="77"/>
      <c r="L247" s="78"/>
      <c r="M247" s="78"/>
      <c r="N247" s="49"/>
      <c r="O247" s="49" t="e">
        <f>IF($E247="posto/hora extra",0,IF(OR(E247="posto/dia",E247="posto/dia líder"),VLOOKUP($C247,'Indicadores Financeiros'!$A$107:$J$119,8,FALSE)+VLOOKUP($C247,'Indicadores Financeiros'!$A$107:$J$119,9,FALSE)+VLOOKUP($C247,'Indicadores Financeiros'!$A$107:$J$119,10,FALSE),IF('Indicadores Financeiros'!$J$91=0,0,(VLOOKUP($C247,'Indicadores Financeiros'!$A$107:$J$119,9,FALSE)+VLOOKUP('Relatório Custo'!$C247,'Indicadores Financeiros'!$A$107:$J$119,10,FALSE)+('Indicadores Financeiros'!$J$87*'Relatório Custo'!$H247)))))</f>
        <v>#N/A</v>
      </c>
      <c r="P247" s="49"/>
      <c r="Q247" s="81"/>
      <c r="R247" s="81"/>
      <c r="S247" s="82"/>
      <c r="T247" s="47"/>
      <c r="U247" s="83"/>
      <c r="V247" s="24"/>
      <c r="W247" s="91"/>
      <c r="X247" s="20"/>
      <c r="Y247" s="114"/>
      <c r="Z247" s="43"/>
      <c r="AA247" s="41"/>
      <c r="AB247" s="25"/>
      <c r="AC247" s="23"/>
      <c r="AD247" s="23"/>
      <c r="AE247" s="154"/>
      <c r="AF247" s="155"/>
      <c r="AG247" s="155"/>
      <c r="AH247" s="31"/>
      <c r="AI247" s="31"/>
      <c r="AJ247" s="31"/>
      <c r="AK247" s="31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  <c r="IW247" s="25"/>
      <c r="IX247" s="25"/>
      <c r="IY247" s="25"/>
      <c r="IZ247" s="25"/>
      <c r="JA247" s="25"/>
      <c r="JB247" s="25"/>
      <c r="JC247" s="25"/>
      <c r="JD247" s="25"/>
      <c r="JE247" s="25"/>
      <c r="JF247" s="25"/>
      <c r="JG247" s="25"/>
      <c r="JH247" s="25"/>
      <c r="JI247" s="25"/>
      <c r="JJ247" s="25"/>
      <c r="JK247" s="25"/>
      <c r="JL247" s="25"/>
      <c r="JM247" s="25"/>
      <c r="JN247" s="25"/>
      <c r="JO247" s="25"/>
      <c r="JP247" s="25"/>
      <c r="JQ247" s="25"/>
      <c r="JR247" s="25"/>
      <c r="JS247" s="25"/>
      <c r="JT247" s="25"/>
      <c r="JU247" s="25"/>
      <c r="JV247" s="25"/>
      <c r="JW247" s="25"/>
      <c r="JX247" s="25"/>
      <c r="JY247" s="25"/>
      <c r="JZ247" s="25"/>
      <c r="KA247" s="25"/>
      <c r="KB247" s="25"/>
      <c r="KC247" s="25"/>
      <c r="KD247" s="25"/>
      <c r="KE247" s="25"/>
      <c r="KF247" s="25"/>
      <c r="KG247" s="25"/>
      <c r="KH247" s="25"/>
      <c r="KI247" s="25"/>
      <c r="KJ247" s="25"/>
      <c r="KK247" s="25"/>
      <c r="KL247" s="25"/>
      <c r="KM247" s="25"/>
      <c r="KN247" s="25"/>
      <c r="KO247" s="25"/>
      <c r="KP247" s="25"/>
      <c r="KQ247" s="25"/>
      <c r="KR247" s="25"/>
      <c r="KS247" s="25"/>
      <c r="KT247" s="25"/>
      <c r="KU247" s="25"/>
      <c r="KV247" s="25"/>
      <c r="KW247" s="25"/>
      <c r="KX247" s="25"/>
      <c r="KY247" s="25"/>
      <c r="KZ247" s="25"/>
      <c r="LA247" s="25"/>
      <c r="LB247" s="25"/>
      <c r="LC247" s="25"/>
      <c r="LD247" s="25"/>
      <c r="LE247" s="25"/>
      <c r="LF247" s="25"/>
      <c r="LG247" s="25"/>
      <c r="LH247" s="25"/>
      <c r="LI247" s="25"/>
      <c r="LJ247" s="25"/>
      <c r="LK247" s="25"/>
      <c r="LL247" s="25"/>
      <c r="LM247" s="25"/>
      <c r="LN247" s="25"/>
      <c r="LO247" s="25"/>
      <c r="LP247" s="25"/>
      <c r="LQ247" s="25"/>
      <c r="LR247" s="25"/>
      <c r="LS247" s="25"/>
      <c r="LT247" s="25"/>
      <c r="LU247" s="25"/>
      <c r="LV247" s="25"/>
      <c r="LW247" s="25"/>
      <c r="LX247" s="25"/>
      <c r="LY247" s="25"/>
      <c r="LZ247" s="25"/>
      <c r="MA247" s="25"/>
      <c r="MB247" s="25"/>
      <c r="MC247" s="25"/>
      <c r="MD247" s="25"/>
      <c r="ME247" s="25"/>
      <c r="MF247" s="25"/>
      <c r="MG247" s="25"/>
      <c r="MH247" s="25"/>
    </row>
    <row r="248" spans="1:346" s="26" customFormat="1">
      <c r="A248" s="21"/>
      <c r="B248" s="22"/>
      <c r="C248" s="4"/>
      <c r="D248" s="7"/>
      <c r="E248" s="7"/>
      <c r="F248" s="4"/>
      <c r="G248" s="4"/>
      <c r="H248" s="4"/>
      <c r="I248" s="77"/>
      <c r="J248" s="156"/>
      <c r="K248" s="77"/>
      <c r="L248" s="78"/>
      <c r="M248" s="78"/>
      <c r="N248" s="49"/>
      <c r="O248" s="49" t="e">
        <f>IF($E248="posto/hora extra",0,IF(OR(E248="posto/dia",E248="posto/dia líder"),VLOOKUP($C248,'Indicadores Financeiros'!$A$107:$J$119,8,FALSE)+VLOOKUP($C248,'Indicadores Financeiros'!$A$107:$J$119,9,FALSE)+VLOOKUP($C248,'Indicadores Financeiros'!$A$107:$J$119,10,FALSE),IF('Indicadores Financeiros'!$J$91=0,0,(VLOOKUP($C248,'Indicadores Financeiros'!$A$107:$J$119,9,FALSE)+VLOOKUP('Relatório Custo'!$C248,'Indicadores Financeiros'!$A$107:$J$119,10,FALSE)+('Indicadores Financeiros'!$J$87*'Relatório Custo'!$H248)))))</f>
        <v>#N/A</v>
      </c>
      <c r="P248" s="49"/>
      <c r="Q248" s="81"/>
      <c r="R248" s="81"/>
      <c r="S248" s="82"/>
      <c r="T248" s="47"/>
      <c r="U248" s="83"/>
      <c r="V248" s="24"/>
      <c r="W248" s="91"/>
      <c r="X248" s="20"/>
      <c r="Y248" s="114"/>
      <c r="Z248" s="43"/>
      <c r="AA248" s="41"/>
      <c r="AB248" s="25"/>
      <c r="AC248" s="23"/>
      <c r="AD248" s="23"/>
      <c r="AE248" s="154"/>
      <c r="AF248" s="155"/>
      <c r="AG248" s="155"/>
      <c r="AH248" s="31"/>
      <c r="AI248" s="31"/>
      <c r="AJ248" s="31"/>
      <c r="AK248" s="31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  <c r="IW248" s="25"/>
      <c r="IX248" s="25"/>
      <c r="IY248" s="25"/>
      <c r="IZ248" s="25"/>
      <c r="JA248" s="25"/>
      <c r="JB248" s="25"/>
      <c r="JC248" s="25"/>
      <c r="JD248" s="25"/>
      <c r="JE248" s="25"/>
      <c r="JF248" s="25"/>
      <c r="JG248" s="25"/>
      <c r="JH248" s="25"/>
      <c r="JI248" s="25"/>
      <c r="JJ248" s="25"/>
      <c r="JK248" s="25"/>
      <c r="JL248" s="25"/>
      <c r="JM248" s="25"/>
      <c r="JN248" s="25"/>
      <c r="JO248" s="25"/>
      <c r="JP248" s="25"/>
      <c r="JQ248" s="25"/>
      <c r="JR248" s="25"/>
      <c r="JS248" s="25"/>
      <c r="JT248" s="25"/>
      <c r="JU248" s="25"/>
      <c r="JV248" s="25"/>
      <c r="JW248" s="25"/>
      <c r="JX248" s="25"/>
      <c r="JY248" s="25"/>
      <c r="JZ248" s="25"/>
      <c r="KA248" s="25"/>
      <c r="KB248" s="25"/>
      <c r="KC248" s="25"/>
      <c r="KD248" s="25"/>
      <c r="KE248" s="25"/>
      <c r="KF248" s="25"/>
      <c r="KG248" s="25"/>
      <c r="KH248" s="25"/>
      <c r="KI248" s="25"/>
      <c r="KJ248" s="25"/>
      <c r="KK248" s="25"/>
      <c r="KL248" s="25"/>
      <c r="KM248" s="25"/>
      <c r="KN248" s="25"/>
      <c r="KO248" s="25"/>
      <c r="KP248" s="25"/>
      <c r="KQ248" s="25"/>
      <c r="KR248" s="25"/>
      <c r="KS248" s="25"/>
      <c r="KT248" s="25"/>
      <c r="KU248" s="25"/>
      <c r="KV248" s="25"/>
      <c r="KW248" s="25"/>
      <c r="KX248" s="25"/>
      <c r="KY248" s="25"/>
      <c r="KZ248" s="25"/>
      <c r="LA248" s="25"/>
      <c r="LB248" s="25"/>
      <c r="LC248" s="25"/>
      <c r="LD248" s="25"/>
      <c r="LE248" s="25"/>
      <c r="LF248" s="25"/>
      <c r="LG248" s="25"/>
      <c r="LH248" s="25"/>
      <c r="LI248" s="25"/>
      <c r="LJ248" s="25"/>
      <c r="LK248" s="25"/>
      <c r="LL248" s="25"/>
      <c r="LM248" s="25"/>
      <c r="LN248" s="25"/>
      <c r="LO248" s="25"/>
      <c r="LP248" s="25"/>
      <c r="LQ248" s="25"/>
      <c r="LR248" s="25"/>
      <c r="LS248" s="25"/>
      <c r="LT248" s="25"/>
      <c r="LU248" s="25"/>
      <c r="LV248" s="25"/>
      <c r="LW248" s="25"/>
      <c r="LX248" s="25"/>
      <c r="LY248" s="25"/>
      <c r="LZ248" s="25"/>
      <c r="MA248" s="25"/>
      <c r="MB248" s="25"/>
      <c r="MC248" s="25"/>
      <c r="MD248" s="25"/>
      <c r="ME248" s="25"/>
      <c r="MF248" s="25"/>
      <c r="MG248" s="25"/>
      <c r="MH248" s="25"/>
    </row>
    <row r="249" spans="1:346" s="26" customFormat="1">
      <c r="A249" s="21"/>
      <c r="B249" s="22"/>
      <c r="C249" s="4"/>
      <c r="D249" s="7"/>
      <c r="E249" s="7"/>
      <c r="F249" s="4"/>
      <c r="G249" s="4"/>
      <c r="H249" s="4"/>
      <c r="I249" s="77"/>
      <c r="J249" s="156"/>
      <c r="K249" s="77"/>
      <c r="L249" s="78"/>
      <c r="M249" s="78"/>
      <c r="N249" s="49"/>
      <c r="O249" s="49" t="e">
        <f>IF($E249="posto/hora extra",0,IF(OR(E249="posto/dia",E249="posto/dia líder"),VLOOKUP($C249,'Indicadores Financeiros'!$A$107:$J$119,8,FALSE)+VLOOKUP($C249,'Indicadores Financeiros'!$A$107:$J$119,9,FALSE)+VLOOKUP($C249,'Indicadores Financeiros'!$A$107:$J$119,10,FALSE),IF('Indicadores Financeiros'!$J$91=0,0,(VLOOKUP($C249,'Indicadores Financeiros'!$A$107:$J$119,9,FALSE)+VLOOKUP('Relatório Custo'!$C249,'Indicadores Financeiros'!$A$107:$J$119,10,FALSE)+('Indicadores Financeiros'!$J$87*'Relatório Custo'!$H249)))))</f>
        <v>#N/A</v>
      </c>
      <c r="P249" s="49"/>
      <c r="Q249" s="81"/>
      <c r="R249" s="81"/>
      <c r="S249" s="82"/>
      <c r="T249" s="47"/>
      <c r="U249" s="83"/>
      <c r="V249" s="24"/>
      <c r="W249" s="91"/>
      <c r="X249" s="20"/>
      <c r="Y249" s="114"/>
      <c r="Z249" s="43"/>
      <c r="AA249" s="41"/>
      <c r="AB249" s="25"/>
      <c r="AC249" s="23"/>
      <c r="AD249" s="23"/>
      <c r="AE249" s="154"/>
      <c r="AF249" s="155"/>
      <c r="AG249" s="155"/>
      <c r="AH249" s="31"/>
      <c r="AI249" s="31"/>
      <c r="AJ249" s="31"/>
      <c r="AK249" s="31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  <c r="IV249" s="25"/>
      <c r="IW249" s="25"/>
      <c r="IX249" s="25"/>
      <c r="IY249" s="25"/>
      <c r="IZ249" s="25"/>
      <c r="JA249" s="25"/>
      <c r="JB249" s="25"/>
      <c r="JC249" s="25"/>
      <c r="JD249" s="25"/>
      <c r="JE249" s="25"/>
      <c r="JF249" s="25"/>
      <c r="JG249" s="25"/>
      <c r="JH249" s="25"/>
      <c r="JI249" s="25"/>
      <c r="JJ249" s="25"/>
      <c r="JK249" s="25"/>
      <c r="JL249" s="25"/>
      <c r="JM249" s="25"/>
      <c r="JN249" s="25"/>
      <c r="JO249" s="25"/>
      <c r="JP249" s="25"/>
      <c r="JQ249" s="25"/>
      <c r="JR249" s="25"/>
      <c r="JS249" s="25"/>
      <c r="JT249" s="25"/>
      <c r="JU249" s="25"/>
      <c r="JV249" s="25"/>
      <c r="JW249" s="25"/>
      <c r="JX249" s="25"/>
      <c r="JY249" s="25"/>
      <c r="JZ249" s="25"/>
      <c r="KA249" s="25"/>
      <c r="KB249" s="25"/>
      <c r="KC249" s="25"/>
      <c r="KD249" s="25"/>
      <c r="KE249" s="25"/>
      <c r="KF249" s="25"/>
      <c r="KG249" s="25"/>
      <c r="KH249" s="25"/>
      <c r="KI249" s="25"/>
      <c r="KJ249" s="25"/>
      <c r="KK249" s="25"/>
      <c r="KL249" s="25"/>
      <c r="KM249" s="25"/>
      <c r="KN249" s="25"/>
      <c r="KO249" s="25"/>
      <c r="KP249" s="25"/>
      <c r="KQ249" s="25"/>
      <c r="KR249" s="25"/>
      <c r="KS249" s="25"/>
      <c r="KT249" s="25"/>
      <c r="KU249" s="25"/>
      <c r="KV249" s="25"/>
      <c r="KW249" s="25"/>
      <c r="KX249" s="25"/>
      <c r="KY249" s="25"/>
      <c r="KZ249" s="25"/>
      <c r="LA249" s="25"/>
      <c r="LB249" s="25"/>
      <c r="LC249" s="25"/>
      <c r="LD249" s="25"/>
      <c r="LE249" s="25"/>
      <c r="LF249" s="25"/>
      <c r="LG249" s="25"/>
      <c r="LH249" s="25"/>
      <c r="LI249" s="25"/>
      <c r="LJ249" s="25"/>
      <c r="LK249" s="25"/>
      <c r="LL249" s="25"/>
      <c r="LM249" s="25"/>
      <c r="LN249" s="25"/>
      <c r="LO249" s="25"/>
      <c r="LP249" s="25"/>
      <c r="LQ249" s="25"/>
      <c r="LR249" s="25"/>
      <c r="LS249" s="25"/>
      <c r="LT249" s="25"/>
      <c r="LU249" s="25"/>
      <c r="LV249" s="25"/>
      <c r="LW249" s="25"/>
      <c r="LX249" s="25"/>
      <c r="LY249" s="25"/>
      <c r="LZ249" s="25"/>
      <c r="MA249" s="25"/>
      <c r="MB249" s="25"/>
      <c r="MC249" s="25"/>
      <c r="MD249" s="25"/>
      <c r="ME249" s="25"/>
      <c r="MF249" s="25"/>
      <c r="MG249" s="25"/>
      <c r="MH249" s="25"/>
    </row>
    <row r="250" spans="1:346" s="26" customFormat="1">
      <c r="A250" s="21"/>
      <c r="B250" s="22"/>
      <c r="C250" s="4"/>
      <c r="D250" s="7"/>
      <c r="E250" s="7"/>
      <c r="F250" s="4"/>
      <c r="G250" s="4"/>
      <c r="H250" s="4"/>
      <c r="I250" s="77"/>
      <c r="J250" s="156"/>
      <c r="K250" s="77"/>
      <c r="L250" s="78"/>
      <c r="M250" s="78"/>
      <c r="N250" s="49"/>
      <c r="O250" s="49" t="e">
        <f>IF($E250="posto/hora extra",0,IF(OR(E250="posto/dia",E250="posto/dia líder"),VLOOKUP($C250,'Indicadores Financeiros'!$A$107:$J$119,8,FALSE)+VLOOKUP($C250,'Indicadores Financeiros'!$A$107:$J$119,9,FALSE)+VLOOKUP($C250,'Indicadores Financeiros'!$A$107:$J$119,10,FALSE),IF('Indicadores Financeiros'!$J$91=0,0,(VLOOKUP($C250,'Indicadores Financeiros'!$A$107:$J$119,9,FALSE)+VLOOKUP('Relatório Custo'!$C250,'Indicadores Financeiros'!$A$107:$J$119,10,FALSE)+('Indicadores Financeiros'!$J$87*'Relatório Custo'!$H250)))))</f>
        <v>#N/A</v>
      </c>
      <c r="P250" s="49"/>
      <c r="Q250" s="81"/>
      <c r="R250" s="81"/>
      <c r="S250" s="82"/>
      <c r="T250" s="47"/>
      <c r="U250" s="83"/>
      <c r="V250" s="24"/>
      <c r="W250" s="91"/>
      <c r="X250" s="20"/>
      <c r="Y250" s="114"/>
      <c r="Z250" s="43"/>
      <c r="AA250" s="41"/>
      <c r="AB250" s="25"/>
      <c r="AC250" s="23"/>
      <c r="AD250" s="23"/>
      <c r="AE250" s="154"/>
      <c r="AF250" s="155"/>
      <c r="AG250" s="155"/>
      <c r="AH250" s="31"/>
      <c r="AI250" s="31"/>
      <c r="AJ250" s="31"/>
      <c r="AK250" s="31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  <c r="IV250" s="25"/>
      <c r="IW250" s="25"/>
      <c r="IX250" s="25"/>
      <c r="IY250" s="25"/>
      <c r="IZ250" s="25"/>
      <c r="JA250" s="25"/>
      <c r="JB250" s="25"/>
      <c r="JC250" s="25"/>
      <c r="JD250" s="25"/>
      <c r="JE250" s="25"/>
      <c r="JF250" s="25"/>
      <c r="JG250" s="25"/>
      <c r="JH250" s="25"/>
      <c r="JI250" s="25"/>
      <c r="JJ250" s="25"/>
      <c r="JK250" s="25"/>
      <c r="JL250" s="25"/>
      <c r="JM250" s="25"/>
      <c r="JN250" s="25"/>
      <c r="JO250" s="25"/>
      <c r="JP250" s="25"/>
      <c r="JQ250" s="25"/>
      <c r="JR250" s="25"/>
      <c r="JS250" s="25"/>
      <c r="JT250" s="25"/>
      <c r="JU250" s="25"/>
      <c r="JV250" s="25"/>
      <c r="JW250" s="25"/>
      <c r="JX250" s="25"/>
      <c r="JY250" s="25"/>
      <c r="JZ250" s="25"/>
      <c r="KA250" s="25"/>
      <c r="KB250" s="25"/>
      <c r="KC250" s="25"/>
      <c r="KD250" s="25"/>
      <c r="KE250" s="25"/>
      <c r="KF250" s="25"/>
      <c r="KG250" s="25"/>
      <c r="KH250" s="25"/>
      <c r="KI250" s="25"/>
      <c r="KJ250" s="25"/>
      <c r="KK250" s="25"/>
      <c r="KL250" s="25"/>
      <c r="KM250" s="25"/>
      <c r="KN250" s="25"/>
      <c r="KO250" s="25"/>
      <c r="KP250" s="25"/>
      <c r="KQ250" s="25"/>
      <c r="KR250" s="25"/>
      <c r="KS250" s="25"/>
      <c r="KT250" s="25"/>
      <c r="KU250" s="25"/>
      <c r="KV250" s="25"/>
      <c r="KW250" s="25"/>
      <c r="KX250" s="25"/>
      <c r="KY250" s="25"/>
      <c r="KZ250" s="25"/>
      <c r="LA250" s="25"/>
      <c r="LB250" s="25"/>
      <c r="LC250" s="25"/>
      <c r="LD250" s="25"/>
      <c r="LE250" s="25"/>
      <c r="LF250" s="25"/>
      <c r="LG250" s="25"/>
      <c r="LH250" s="25"/>
      <c r="LI250" s="25"/>
      <c r="LJ250" s="25"/>
      <c r="LK250" s="25"/>
      <c r="LL250" s="25"/>
      <c r="LM250" s="25"/>
      <c r="LN250" s="25"/>
      <c r="LO250" s="25"/>
      <c r="LP250" s="25"/>
      <c r="LQ250" s="25"/>
      <c r="LR250" s="25"/>
      <c r="LS250" s="25"/>
      <c r="LT250" s="25"/>
      <c r="LU250" s="25"/>
      <c r="LV250" s="25"/>
      <c r="LW250" s="25"/>
      <c r="LX250" s="25"/>
      <c r="LY250" s="25"/>
      <c r="LZ250" s="25"/>
      <c r="MA250" s="25"/>
      <c r="MB250" s="25"/>
      <c r="MC250" s="25"/>
      <c r="MD250" s="25"/>
      <c r="ME250" s="25"/>
      <c r="MF250" s="25"/>
      <c r="MG250" s="25"/>
      <c r="MH250" s="25"/>
    </row>
    <row r="251" spans="1:346" s="26" customFormat="1">
      <c r="A251" s="21"/>
      <c r="B251" s="22"/>
      <c r="C251" s="4"/>
      <c r="D251" s="7"/>
      <c r="E251" s="7"/>
      <c r="F251" s="4"/>
      <c r="G251" s="4"/>
      <c r="H251" s="4"/>
      <c r="I251" s="77"/>
      <c r="J251" s="156"/>
      <c r="K251" s="77"/>
      <c r="L251" s="78"/>
      <c r="M251" s="78"/>
      <c r="N251" s="49"/>
      <c r="O251" s="49" t="e">
        <f>IF($E251="posto/hora extra",0,IF(OR(E251="posto/dia",E251="posto/dia líder"),VLOOKUP($C251,'Indicadores Financeiros'!$A$107:$J$119,8,FALSE)+VLOOKUP($C251,'Indicadores Financeiros'!$A$107:$J$119,9,FALSE)+VLOOKUP($C251,'Indicadores Financeiros'!$A$107:$J$119,10,FALSE),IF('Indicadores Financeiros'!$J$91=0,0,(VLOOKUP($C251,'Indicadores Financeiros'!$A$107:$J$119,9,FALSE)+VLOOKUP('Relatório Custo'!$C251,'Indicadores Financeiros'!$A$107:$J$119,10,FALSE)+('Indicadores Financeiros'!$J$87*'Relatório Custo'!$H251)))))</f>
        <v>#N/A</v>
      </c>
      <c r="P251" s="49"/>
      <c r="Q251" s="81"/>
      <c r="R251" s="81"/>
      <c r="S251" s="82"/>
      <c r="T251" s="47"/>
      <c r="U251" s="83"/>
      <c r="V251" s="24"/>
      <c r="W251" s="91"/>
      <c r="X251" s="20"/>
      <c r="Y251" s="114"/>
      <c r="Z251" s="43"/>
      <c r="AA251" s="41"/>
      <c r="AB251" s="25"/>
      <c r="AC251" s="23"/>
      <c r="AD251" s="23"/>
      <c r="AE251" s="154"/>
      <c r="AF251" s="155"/>
      <c r="AG251" s="155"/>
      <c r="AH251" s="31"/>
      <c r="AI251" s="31"/>
      <c r="AJ251" s="31"/>
      <c r="AK251" s="31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  <c r="IW251" s="25"/>
      <c r="IX251" s="25"/>
      <c r="IY251" s="25"/>
      <c r="IZ251" s="25"/>
      <c r="JA251" s="25"/>
      <c r="JB251" s="25"/>
      <c r="JC251" s="25"/>
      <c r="JD251" s="25"/>
      <c r="JE251" s="25"/>
      <c r="JF251" s="25"/>
      <c r="JG251" s="25"/>
      <c r="JH251" s="25"/>
      <c r="JI251" s="25"/>
      <c r="JJ251" s="25"/>
      <c r="JK251" s="25"/>
      <c r="JL251" s="25"/>
      <c r="JM251" s="25"/>
      <c r="JN251" s="25"/>
      <c r="JO251" s="25"/>
      <c r="JP251" s="25"/>
      <c r="JQ251" s="25"/>
      <c r="JR251" s="25"/>
      <c r="JS251" s="25"/>
      <c r="JT251" s="25"/>
      <c r="JU251" s="25"/>
      <c r="JV251" s="25"/>
      <c r="JW251" s="25"/>
      <c r="JX251" s="25"/>
      <c r="JY251" s="25"/>
      <c r="JZ251" s="25"/>
      <c r="KA251" s="25"/>
      <c r="KB251" s="25"/>
      <c r="KC251" s="25"/>
      <c r="KD251" s="25"/>
      <c r="KE251" s="25"/>
      <c r="KF251" s="25"/>
      <c r="KG251" s="25"/>
      <c r="KH251" s="25"/>
      <c r="KI251" s="25"/>
      <c r="KJ251" s="25"/>
      <c r="KK251" s="25"/>
      <c r="KL251" s="25"/>
      <c r="KM251" s="25"/>
      <c r="KN251" s="25"/>
      <c r="KO251" s="25"/>
      <c r="KP251" s="25"/>
      <c r="KQ251" s="25"/>
      <c r="KR251" s="25"/>
      <c r="KS251" s="25"/>
      <c r="KT251" s="25"/>
      <c r="KU251" s="25"/>
      <c r="KV251" s="25"/>
      <c r="KW251" s="25"/>
      <c r="KX251" s="25"/>
      <c r="KY251" s="25"/>
      <c r="KZ251" s="25"/>
      <c r="LA251" s="25"/>
      <c r="LB251" s="25"/>
      <c r="LC251" s="25"/>
      <c r="LD251" s="25"/>
      <c r="LE251" s="25"/>
      <c r="LF251" s="25"/>
      <c r="LG251" s="25"/>
      <c r="LH251" s="25"/>
      <c r="LI251" s="25"/>
      <c r="LJ251" s="25"/>
      <c r="LK251" s="25"/>
      <c r="LL251" s="25"/>
      <c r="LM251" s="25"/>
      <c r="LN251" s="25"/>
      <c r="LO251" s="25"/>
      <c r="LP251" s="25"/>
      <c r="LQ251" s="25"/>
      <c r="LR251" s="25"/>
      <c r="LS251" s="25"/>
      <c r="LT251" s="25"/>
      <c r="LU251" s="25"/>
      <c r="LV251" s="25"/>
      <c r="LW251" s="25"/>
      <c r="LX251" s="25"/>
      <c r="LY251" s="25"/>
      <c r="LZ251" s="25"/>
      <c r="MA251" s="25"/>
      <c r="MB251" s="25"/>
      <c r="MC251" s="25"/>
      <c r="MD251" s="25"/>
      <c r="ME251" s="25"/>
      <c r="MF251" s="25"/>
      <c r="MG251" s="25"/>
      <c r="MH251" s="25"/>
    </row>
    <row r="252" spans="1:346" s="26" customFormat="1">
      <c r="A252" s="21"/>
      <c r="B252" s="22"/>
      <c r="C252" s="4"/>
      <c r="D252" s="7"/>
      <c r="E252" s="7"/>
      <c r="F252" s="4"/>
      <c r="G252" s="4"/>
      <c r="H252" s="4"/>
      <c r="I252" s="77"/>
      <c r="J252" s="156"/>
      <c r="K252" s="77"/>
      <c r="L252" s="78"/>
      <c r="M252" s="78"/>
      <c r="N252" s="49"/>
      <c r="O252" s="49" t="e">
        <f>IF($E252="posto/hora extra",0,IF(OR(E252="posto/dia",E252="posto/dia líder"),VLOOKUP($C252,'Indicadores Financeiros'!$A$107:$J$119,8,FALSE)+VLOOKUP($C252,'Indicadores Financeiros'!$A$107:$J$119,9,FALSE)+VLOOKUP($C252,'Indicadores Financeiros'!$A$107:$J$119,10,FALSE),IF('Indicadores Financeiros'!$J$91=0,0,(VLOOKUP($C252,'Indicadores Financeiros'!$A$107:$J$119,9,FALSE)+VLOOKUP('Relatório Custo'!$C252,'Indicadores Financeiros'!$A$107:$J$119,10,FALSE)+('Indicadores Financeiros'!$J$87*'Relatório Custo'!$H252)))))</f>
        <v>#N/A</v>
      </c>
      <c r="P252" s="49"/>
      <c r="Q252" s="81"/>
      <c r="R252" s="81"/>
      <c r="S252" s="82"/>
      <c r="T252" s="47"/>
      <c r="U252" s="83"/>
      <c r="V252" s="24"/>
      <c r="W252" s="91"/>
      <c r="X252" s="20"/>
      <c r="Y252" s="114"/>
      <c r="Z252" s="43"/>
      <c r="AA252" s="41"/>
      <c r="AB252" s="25"/>
      <c r="AC252" s="23"/>
      <c r="AD252" s="23"/>
      <c r="AE252" s="154"/>
      <c r="AF252" s="155"/>
      <c r="AG252" s="155"/>
      <c r="AH252" s="31"/>
      <c r="AI252" s="31"/>
      <c r="AJ252" s="31"/>
      <c r="AK252" s="31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  <c r="IV252" s="25"/>
      <c r="IW252" s="25"/>
      <c r="IX252" s="25"/>
      <c r="IY252" s="25"/>
      <c r="IZ252" s="25"/>
      <c r="JA252" s="25"/>
      <c r="JB252" s="25"/>
      <c r="JC252" s="25"/>
      <c r="JD252" s="25"/>
      <c r="JE252" s="25"/>
      <c r="JF252" s="25"/>
      <c r="JG252" s="25"/>
      <c r="JH252" s="25"/>
      <c r="JI252" s="25"/>
      <c r="JJ252" s="25"/>
      <c r="JK252" s="25"/>
      <c r="JL252" s="25"/>
      <c r="JM252" s="25"/>
      <c r="JN252" s="25"/>
      <c r="JO252" s="25"/>
      <c r="JP252" s="25"/>
      <c r="JQ252" s="25"/>
      <c r="JR252" s="25"/>
      <c r="JS252" s="25"/>
      <c r="JT252" s="25"/>
      <c r="JU252" s="25"/>
      <c r="JV252" s="25"/>
      <c r="JW252" s="25"/>
      <c r="JX252" s="25"/>
      <c r="JY252" s="25"/>
      <c r="JZ252" s="25"/>
      <c r="KA252" s="25"/>
      <c r="KB252" s="25"/>
      <c r="KC252" s="25"/>
      <c r="KD252" s="25"/>
      <c r="KE252" s="25"/>
      <c r="KF252" s="25"/>
      <c r="KG252" s="25"/>
      <c r="KH252" s="25"/>
      <c r="KI252" s="25"/>
      <c r="KJ252" s="25"/>
      <c r="KK252" s="25"/>
      <c r="KL252" s="25"/>
      <c r="KM252" s="25"/>
      <c r="KN252" s="25"/>
      <c r="KO252" s="25"/>
      <c r="KP252" s="25"/>
      <c r="KQ252" s="25"/>
      <c r="KR252" s="25"/>
      <c r="KS252" s="25"/>
      <c r="KT252" s="25"/>
      <c r="KU252" s="25"/>
      <c r="KV252" s="25"/>
      <c r="KW252" s="25"/>
      <c r="KX252" s="25"/>
      <c r="KY252" s="25"/>
      <c r="KZ252" s="25"/>
      <c r="LA252" s="25"/>
      <c r="LB252" s="25"/>
      <c r="LC252" s="25"/>
      <c r="LD252" s="25"/>
      <c r="LE252" s="25"/>
      <c r="LF252" s="25"/>
      <c r="LG252" s="25"/>
      <c r="LH252" s="25"/>
      <c r="LI252" s="25"/>
      <c r="LJ252" s="25"/>
      <c r="LK252" s="25"/>
      <c r="LL252" s="25"/>
      <c r="LM252" s="25"/>
      <c r="LN252" s="25"/>
      <c r="LO252" s="25"/>
      <c r="LP252" s="25"/>
      <c r="LQ252" s="25"/>
      <c r="LR252" s="25"/>
      <c r="LS252" s="25"/>
      <c r="LT252" s="25"/>
      <c r="LU252" s="25"/>
      <c r="LV252" s="25"/>
      <c r="LW252" s="25"/>
      <c r="LX252" s="25"/>
      <c r="LY252" s="25"/>
      <c r="LZ252" s="25"/>
      <c r="MA252" s="25"/>
      <c r="MB252" s="25"/>
      <c r="MC252" s="25"/>
      <c r="MD252" s="25"/>
      <c r="ME252" s="25"/>
      <c r="MF252" s="25"/>
      <c r="MG252" s="25"/>
      <c r="MH252" s="25"/>
    </row>
    <row r="253" spans="1:346" s="26" customFormat="1">
      <c r="A253" s="21"/>
      <c r="B253" s="22"/>
      <c r="C253" s="4"/>
      <c r="D253" s="7"/>
      <c r="E253" s="7"/>
      <c r="F253" s="4"/>
      <c r="G253" s="4"/>
      <c r="H253" s="4"/>
      <c r="I253" s="77"/>
      <c r="J253" s="156"/>
      <c r="K253" s="77"/>
      <c r="L253" s="78"/>
      <c r="M253" s="78"/>
      <c r="N253" s="49"/>
      <c r="O253" s="49" t="e">
        <f>IF($E253="posto/hora extra",0,IF(OR(E253="posto/dia",E253="posto/dia líder"),VLOOKUP($C253,'Indicadores Financeiros'!$A$107:$J$119,8,FALSE)+VLOOKUP($C253,'Indicadores Financeiros'!$A$107:$J$119,9,FALSE)+VLOOKUP($C253,'Indicadores Financeiros'!$A$107:$J$119,10,FALSE),IF('Indicadores Financeiros'!$J$91=0,0,(VLOOKUP($C253,'Indicadores Financeiros'!$A$107:$J$119,9,FALSE)+VLOOKUP('Relatório Custo'!$C253,'Indicadores Financeiros'!$A$107:$J$119,10,FALSE)+('Indicadores Financeiros'!$J$87*'Relatório Custo'!$H253)))))</f>
        <v>#N/A</v>
      </c>
      <c r="P253" s="49"/>
      <c r="Q253" s="81"/>
      <c r="R253" s="81"/>
      <c r="S253" s="82"/>
      <c r="T253" s="47"/>
      <c r="U253" s="83"/>
      <c r="V253" s="24"/>
      <c r="W253" s="91"/>
      <c r="X253" s="20"/>
      <c r="Y253" s="114"/>
      <c r="Z253" s="43"/>
      <c r="AA253" s="41"/>
      <c r="AB253" s="25"/>
      <c r="AC253" s="23"/>
      <c r="AD253" s="23"/>
      <c r="AE253" s="154"/>
      <c r="AF253" s="155"/>
      <c r="AG253" s="155"/>
      <c r="AH253" s="31"/>
      <c r="AI253" s="31"/>
      <c r="AJ253" s="31"/>
      <c r="AK253" s="31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  <c r="IV253" s="25"/>
      <c r="IW253" s="25"/>
      <c r="IX253" s="25"/>
      <c r="IY253" s="25"/>
      <c r="IZ253" s="25"/>
      <c r="JA253" s="25"/>
      <c r="JB253" s="25"/>
      <c r="JC253" s="25"/>
      <c r="JD253" s="25"/>
      <c r="JE253" s="25"/>
      <c r="JF253" s="25"/>
      <c r="JG253" s="25"/>
      <c r="JH253" s="25"/>
      <c r="JI253" s="25"/>
      <c r="JJ253" s="25"/>
      <c r="JK253" s="25"/>
      <c r="JL253" s="25"/>
      <c r="JM253" s="25"/>
      <c r="JN253" s="25"/>
      <c r="JO253" s="25"/>
      <c r="JP253" s="25"/>
      <c r="JQ253" s="25"/>
      <c r="JR253" s="25"/>
      <c r="JS253" s="25"/>
      <c r="JT253" s="25"/>
      <c r="JU253" s="25"/>
      <c r="JV253" s="25"/>
      <c r="JW253" s="25"/>
      <c r="JX253" s="25"/>
      <c r="JY253" s="25"/>
      <c r="JZ253" s="25"/>
      <c r="KA253" s="25"/>
      <c r="KB253" s="25"/>
      <c r="KC253" s="25"/>
      <c r="KD253" s="25"/>
      <c r="KE253" s="25"/>
      <c r="KF253" s="25"/>
      <c r="KG253" s="25"/>
      <c r="KH253" s="25"/>
      <c r="KI253" s="25"/>
      <c r="KJ253" s="25"/>
      <c r="KK253" s="25"/>
      <c r="KL253" s="25"/>
      <c r="KM253" s="25"/>
      <c r="KN253" s="25"/>
      <c r="KO253" s="25"/>
      <c r="KP253" s="25"/>
      <c r="KQ253" s="25"/>
      <c r="KR253" s="25"/>
      <c r="KS253" s="25"/>
      <c r="KT253" s="25"/>
      <c r="KU253" s="25"/>
      <c r="KV253" s="25"/>
      <c r="KW253" s="25"/>
      <c r="KX253" s="25"/>
      <c r="KY253" s="25"/>
      <c r="KZ253" s="25"/>
      <c r="LA253" s="25"/>
      <c r="LB253" s="25"/>
      <c r="LC253" s="25"/>
      <c r="LD253" s="25"/>
      <c r="LE253" s="25"/>
      <c r="LF253" s="25"/>
      <c r="LG253" s="25"/>
      <c r="LH253" s="25"/>
      <c r="LI253" s="25"/>
      <c r="LJ253" s="25"/>
      <c r="LK253" s="25"/>
      <c r="LL253" s="25"/>
      <c r="LM253" s="25"/>
      <c r="LN253" s="25"/>
      <c r="LO253" s="25"/>
      <c r="LP253" s="25"/>
      <c r="LQ253" s="25"/>
      <c r="LR253" s="25"/>
      <c r="LS253" s="25"/>
      <c r="LT253" s="25"/>
      <c r="LU253" s="25"/>
      <c r="LV253" s="25"/>
      <c r="LW253" s="25"/>
      <c r="LX253" s="25"/>
      <c r="LY253" s="25"/>
      <c r="LZ253" s="25"/>
      <c r="MA253" s="25"/>
      <c r="MB253" s="25"/>
      <c r="MC253" s="25"/>
      <c r="MD253" s="25"/>
      <c r="ME253" s="25"/>
      <c r="MF253" s="25"/>
      <c r="MG253" s="25"/>
      <c r="MH253" s="25"/>
    </row>
    <row r="254" spans="1:346" s="26" customFormat="1">
      <c r="A254" s="21"/>
      <c r="B254" s="22"/>
      <c r="C254" s="4"/>
      <c r="D254" s="7"/>
      <c r="E254" s="7"/>
      <c r="F254" s="4"/>
      <c r="G254" s="4"/>
      <c r="H254" s="4"/>
      <c r="I254" s="77"/>
      <c r="J254" s="156"/>
      <c r="K254" s="77"/>
      <c r="L254" s="78"/>
      <c r="M254" s="78"/>
      <c r="N254" s="49"/>
      <c r="O254" s="49" t="e">
        <f>IF($E254="posto/hora extra",0,IF(OR(E254="posto/dia",E254="posto/dia líder"),VLOOKUP($C254,'Indicadores Financeiros'!$A$107:$J$119,8,FALSE)+VLOOKUP($C254,'Indicadores Financeiros'!$A$107:$J$119,9,FALSE)+VLOOKUP($C254,'Indicadores Financeiros'!$A$107:$J$119,10,FALSE),IF('Indicadores Financeiros'!$J$91=0,0,(VLOOKUP($C254,'Indicadores Financeiros'!$A$107:$J$119,9,FALSE)+VLOOKUP('Relatório Custo'!$C254,'Indicadores Financeiros'!$A$107:$J$119,10,FALSE)+('Indicadores Financeiros'!$J$87*'Relatório Custo'!$H254)))))</f>
        <v>#N/A</v>
      </c>
      <c r="P254" s="49"/>
      <c r="Q254" s="81"/>
      <c r="R254" s="81"/>
      <c r="S254" s="82"/>
      <c r="T254" s="47"/>
      <c r="U254" s="83"/>
      <c r="V254" s="24"/>
      <c r="W254" s="91"/>
      <c r="X254" s="20"/>
      <c r="Y254" s="114"/>
      <c r="Z254" s="43"/>
      <c r="AA254" s="41"/>
      <c r="AB254" s="25"/>
      <c r="AC254" s="23"/>
      <c r="AD254" s="23"/>
      <c r="AE254" s="154"/>
      <c r="AF254" s="155"/>
      <c r="AG254" s="155"/>
      <c r="AH254" s="31"/>
      <c r="AI254" s="31"/>
      <c r="AJ254" s="31"/>
      <c r="AK254" s="31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  <c r="IV254" s="25"/>
      <c r="IW254" s="25"/>
      <c r="IX254" s="25"/>
      <c r="IY254" s="25"/>
      <c r="IZ254" s="25"/>
      <c r="JA254" s="25"/>
      <c r="JB254" s="25"/>
      <c r="JC254" s="25"/>
      <c r="JD254" s="25"/>
      <c r="JE254" s="25"/>
      <c r="JF254" s="25"/>
      <c r="JG254" s="25"/>
      <c r="JH254" s="25"/>
      <c r="JI254" s="25"/>
      <c r="JJ254" s="25"/>
      <c r="JK254" s="25"/>
      <c r="JL254" s="25"/>
      <c r="JM254" s="25"/>
      <c r="JN254" s="25"/>
      <c r="JO254" s="25"/>
      <c r="JP254" s="25"/>
      <c r="JQ254" s="25"/>
      <c r="JR254" s="25"/>
      <c r="JS254" s="25"/>
      <c r="JT254" s="25"/>
      <c r="JU254" s="25"/>
      <c r="JV254" s="25"/>
      <c r="JW254" s="25"/>
      <c r="JX254" s="25"/>
      <c r="JY254" s="25"/>
      <c r="JZ254" s="25"/>
      <c r="KA254" s="25"/>
      <c r="KB254" s="25"/>
      <c r="KC254" s="25"/>
      <c r="KD254" s="25"/>
      <c r="KE254" s="25"/>
      <c r="KF254" s="25"/>
      <c r="KG254" s="25"/>
      <c r="KH254" s="25"/>
      <c r="KI254" s="25"/>
      <c r="KJ254" s="25"/>
      <c r="KK254" s="25"/>
      <c r="KL254" s="25"/>
      <c r="KM254" s="25"/>
      <c r="KN254" s="25"/>
      <c r="KO254" s="25"/>
      <c r="KP254" s="25"/>
      <c r="KQ254" s="25"/>
      <c r="KR254" s="25"/>
      <c r="KS254" s="25"/>
      <c r="KT254" s="25"/>
      <c r="KU254" s="25"/>
      <c r="KV254" s="25"/>
      <c r="KW254" s="25"/>
      <c r="KX254" s="25"/>
      <c r="KY254" s="25"/>
      <c r="KZ254" s="25"/>
      <c r="LA254" s="25"/>
      <c r="LB254" s="25"/>
      <c r="LC254" s="25"/>
      <c r="LD254" s="25"/>
      <c r="LE254" s="25"/>
      <c r="LF254" s="25"/>
      <c r="LG254" s="25"/>
      <c r="LH254" s="25"/>
      <c r="LI254" s="25"/>
      <c r="LJ254" s="25"/>
      <c r="LK254" s="25"/>
      <c r="LL254" s="25"/>
      <c r="LM254" s="25"/>
      <c r="LN254" s="25"/>
      <c r="LO254" s="25"/>
      <c r="LP254" s="25"/>
      <c r="LQ254" s="25"/>
      <c r="LR254" s="25"/>
      <c r="LS254" s="25"/>
      <c r="LT254" s="25"/>
      <c r="LU254" s="25"/>
      <c r="LV254" s="25"/>
      <c r="LW254" s="25"/>
      <c r="LX254" s="25"/>
      <c r="LY254" s="25"/>
      <c r="LZ254" s="25"/>
      <c r="MA254" s="25"/>
      <c r="MB254" s="25"/>
      <c r="MC254" s="25"/>
      <c r="MD254" s="25"/>
      <c r="ME254" s="25"/>
      <c r="MF254" s="25"/>
      <c r="MG254" s="25"/>
      <c r="MH254" s="25"/>
    </row>
    <row r="255" spans="1:346" s="26" customFormat="1">
      <c r="A255" s="21"/>
      <c r="B255" s="22"/>
      <c r="C255" s="4"/>
      <c r="D255" s="7"/>
      <c r="E255" s="7"/>
      <c r="F255" s="4"/>
      <c r="G255" s="4"/>
      <c r="H255" s="4"/>
      <c r="I255" s="77"/>
      <c r="J255" s="156"/>
      <c r="K255" s="77"/>
      <c r="L255" s="78"/>
      <c r="M255" s="78"/>
      <c r="N255" s="49"/>
      <c r="O255" s="49" t="e">
        <f>IF($E255="posto/hora extra",0,IF(OR(E255="posto/dia",E255="posto/dia líder"),VLOOKUP($C255,'Indicadores Financeiros'!$A$107:$J$119,8,FALSE)+VLOOKUP($C255,'Indicadores Financeiros'!$A$107:$J$119,9,FALSE)+VLOOKUP($C255,'Indicadores Financeiros'!$A$107:$J$119,10,FALSE),IF('Indicadores Financeiros'!$J$91=0,0,(VLOOKUP($C255,'Indicadores Financeiros'!$A$107:$J$119,9,FALSE)+VLOOKUP('Relatório Custo'!$C255,'Indicadores Financeiros'!$A$107:$J$119,10,FALSE)+('Indicadores Financeiros'!$J$87*'Relatório Custo'!$H255)))))</f>
        <v>#N/A</v>
      </c>
      <c r="P255" s="49"/>
      <c r="Q255" s="81"/>
      <c r="R255" s="81"/>
      <c r="S255" s="82"/>
      <c r="T255" s="47"/>
      <c r="U255" s="83"/>
      <c r="V255" s="24"/>
      <c r="W255" s="91"/>
      <c r="X255" s="20"/>
      <c r="Y255" s="114"/>
      <c r="Z255" s="43"/>
      <c r="AA255" s="41"/>
      <c r="AB255" s="25"/>
      <c r="AC255" s="23"/>
      <c r="AD255" s="23"/>
      <c r="AE255" s="154"/>
      <c r="AF255" s="155"/>
      <c r="AG255" s="155"/>
      <c r="AH255" s="31"/>
      <c r="AI255" s="31"/>
      <c r="AJ255" s="31"/>
      <c r="AK255" s="31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  <c r="IW255" s="25"/>
      <c r="IX255" s="25"/>
      <c r="IY255" s="25"/>
      <c r="IZ255" s="25"/>
      <c r="JA255" s="25"/>
      <c r="JB255" s="25"/>
      <c r="JC255" s="25"/>
      <c r="JD255" s="25"/>
      <c r="JE255" s="25"/>
      <c r="JF255" s="25"/>
      <c r="JG255" s="25"/>
      <c r="JH255" s="25"/>
      <c r="JI255" s="25"/>
      <c r="JJ255" s="25"/>
      <c r="JK255" s="25"/>
      <c r="JL255" s="25"/>
      <c r="JM255" s="25"/>
      <c r="JN255" s="25"/>
      <c r="JO255" s="25"/>
      <c r="JP255" s="25"/>
      <c r="JQ255" s="25"/>
      <c r="JR255" s="25"/>
      <c r="JS255" s="25"/>
      <c r="JT255" s="25"/>
      <c r="JU255" s="25"/>
      <c r="JV255" s="25"/>
      <c r="JW255" s="25"/>
      <c r="JX255" s="25"/>
      <c r="JY255" s="25"/>
      <c r="JZ255" s="25"/>
      <c r="KA255" s="25"/>
      <c r="KB255" s="25"/>
      <c r="KC255" s="25"/>
      <c r="KD255" s="25"/>
      <c r="KE255" s="25"/>
      <c r="KF255" s="25"/>
      <c r="KG255" s="25"/>
      <c r="KH255" s="25"/>
      <c r="KI255" s="25"/>
      <c r="KJ255" s="25"/>
      <c r="KK255" s="25"/>
      <c r="KL255" s="25"/>
      <c r="KM255" s="25"/>
      <c r="KN255" s="25"/>
      <c r="KO255" s="25"/>
      <c r="KP255" s="25"/>
      <c r="KQ255" s="25"/>
      <c r="KR255" s="25"/>
      <c r="KS255" s="25"/>
      <c r="KT255" s="25"/>
      <c r="KU255" s="25"/>
      <c r="KV255" s="25"/>
      <c r="KW255" s="25"/>
      <c r="KX255" s="25"/>
      <c r="KY255" s="25"/>
      <c r="KZ255" s="25"/>
      <c r="LA255" s="25"/>
      <c r="LB255" s="25"/>
      <c r="LC255" s="25"/>
      <c r="LD255" s="25"/>
      <c r="LE255" s="25"/>
      <c r="LF255" s="25"/>
      <c r="LG255" s="25"/>
      <c r="LH255" s="25"/>
      <c r="LI255" s="25"/>
      <c r="LJ255" s="25"/>
      <c r="LK255" s="25"/>
      <c r="LL255" s="25"/>
      <c r="LM255" s="25"/>
      <c r="LN255" s="25"/>
      <c r="LO255" s="25"/>
      <c r="LP255" s="25"/>
      <c r="LQ255" s="25"/>
      <c r="LR255" s="25"/>
      <c r="LS255" s="25"/>
      <c r="LT255" s="25"/>
      <c r="LU255" s="25"/>
      <c r="LV255" s="25"/>
      <c r="LW255" s="25"/>
      <c r="LX255" s="25"/>
      <c r="LY255" s="25"/>
      <c r="LZ255" s="25"/>
      <c r="MA255" s="25"/>
      <c r="MB255" s="25"/>
      <c r="MC255" s="25"/>
      <c r="MD255" s="25"/>
      <c r="ME255" s="25"/>
      <c r="MF255" s="25"/>
      <c r="MG255" s="25"/>
      <c r="MH255" s="25"/>
    </row>
    <row r="256" spans="1:346" s="26" customFormat="1">
      <c r="A256" s="21"/>
      <c r="B256" s="22"/>
      <c r="C256" s="4"/>
      <c r="D256" s="7"/>
      <c r="E256" s="7"/>
      <c r="F256" s="4"/>
      <c r="G256" s="4"/>
      <c r="H256" s="4"/>
      <c r="I256" s="77"/>
      <c r="J256" s="156"/>
      <c r="K256" s="77"/>
      <c r="L256" s="78"/>
      <c r="M256" s="78"/>
      <c r="N256" s="49"/>
      <c r="O256" s="49" t="e">
        <f>IF($E256="posto/hora extra",0,IF(OR(E256="posto/dia",E256="posto/dia líder"),VLOOKUP($C256,'Indicadores Financeiros'!$A$107:$J$119,8,FALSE)+VLOOKUP($C256,'Indicadores Financeiros'!$A$107:$J$119,9,FALSE)+VLOOKUP($C256,'Indicadores Financeiros'!$A$107:$J$119,10,FALSE),IF('Indicadores Financeiros'!$J$91=0,0,(VLOOKUP($C256,'Indicadores Financeiros'!$A$107:$J$119,9,FALSE)+VLOOKUP('Relatório Custo'!$C256,'Indicadores Financeiros'!$A$107:$J$119,10,FALSE)+('Indicadores Financeiros'!$J$87*'Relatório Custo'!$H256)))))</f>
        <v>#N/A</v>
      </c>
      <c r="P256" s="49"/>
      <c r="Q256" s="81"/>
      <c r="R256" s="81"/>
      <c r="S256" s="82"/>
      <c r="T256" s="47"/>
      <c r="U256" s="83"/>
      <c r="V256" s="24"/>
      <c r="W256" s="91"/>
      <c r="X256" s="20"/>
      <c r="Y256" s="114"/>
      <c r="Z256" s="43"/>
      <c r="AA256" s="41"/>
      <c r="AB256" s="25"/>
      <c r="AC256" s="23"/>
      <c r="AD256" s="23"/>
      <c r="AE256" s="154"/>
      <c r="AF256" s="155"/>
      <c r="AG256" s="155"/>
      <c r="AH256" s="31"/>
      <c r="AI256" s="31"/>
      <c r="AJ256" s="31"/>
      <c r="AK256" s="31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  <c r="IW256" s="25"/>
      <c r="IX256" s="25"/>
      <c r="IY256" s="25"/>
      <c r="IZ256" s="25"/>
      <c r="JA256" s="25"/>
      <c r="JB256" s="25"/>
      <c r="JC256" s="25"/>
      <c r="JD256" s="25"/>
      <c r="JE256" s="25"/>
      <c r="JF256" s="25"/>
      <c r="JG256" s="25"/>
      <c r="JH256" s="25"/>
      <c r="JI256" s="25"/>
      <c r="JJ256" s="25"/>
      <c r="JK256" s="25"/>
      <c r="JL256" s="25"/>
      <c r="JM256" s="25"/>
      <c r="JN256" s="25"/>
      <c r="JO256" s="25"/>
      <c r="JP256" s="25"/>
      <c r="JQ256" s="25"/>
      <c r="JR256" s="25"/>
      <c r="JS256" s="25"/>
      <c r="JT256" s="25"/>
      <c r="JU256" s="25"/>
      <c r="JV256" s="25"/>
      <c r="JW256" s="25"/>
      <c r="JX256" s="25"/>
      <c r="JY256" s="25"/>
      <c r="JZ256" s="25"/>
      <c r="KA256" s="25"/>
      <c r="KB256" s="25"/>
      <c r="KC256" s="25"/>
      <c r="KD256" s="25"/>
      <c r="KE256" s="25"/>
      <c r="KF256" s="25"/>
      <c r="KG256" s="25"/>
      <c r="KH256" s="25"/>
      <c r="KI256" s="25"/>
      <c r="KJ256" s="25"/>
      <c r="KK256" s="25"/>
      <c r="KL256" s="25"/>
      <c r="KM256" s="25"/>
      <c r="KN256" s="25"/>
      <c r="KO256" s="25"/>
      <c r="KP256" s="25"/>
      <c r="KQ256" s="25"/>
      <c r="KR256" s="25"/>
      <c r="KS256" s="25"/>
      <c r="KT256" s="25"/>
      <c r="KU256" s="25"/>
      <c r="KV256" s="25"/>
      <c r="KW256" s="25"/>
      <c r="KX256" s="25"/>
      <c r="KY256" s="25"/>
      <c r="KZ256" s="25"/>
      <c r="LA256" s="25"/>
      <c r="LB256" s="25"/>
      <c r="LC256" s="25"/>
      <c r="LD256" s="25"/>
      <c r="LE256" s="25"/>
      <c r="LF256" s="25"/>
      <c r="LG256" s="25"/>
      <c r="LH256" s="25"/>
      <c r="LI256" s="25"/>
      <c r="LJ256" s="25"/>
      <c r="LK256" s="25"/>
      <c r="LL256" s="25"/>
      <c r="LM256" s="25"/>
      <c r="LN256" s="25"/>
      <c r="LO256" s="25"/>
      <c r="LP256" s="25"/>
      <c r="LQ256" s="25"/>
      <c r="LR256" s="25"/>
      <c r="LS256" s="25"/>
      <c r="LT256" s="25"/>
      <c r="LU256" s="25"/>
      <c r="LV256" s="25"/>
      <c r="LW256" s="25"/>
      <c r="LX256" s="25"/>
      <c r="LY256" s="25"/>
      <c r="LZ256" s="25"/>
      <c r="MA256" s="25"/>
      <c r="MB256" s="25"/>
      <c r="MC256" s="25"/>
      <c r="MD256" s="25"/>
      <c r="ME256" s="25"/>
      <c r="MF256" s="25"/>
      <c r="MG256" s="25"/>
      <c r="MH256" s="25"/>
    </row>
    <row r="257" spans="1:346" s="26" customFormat="1">
      <c r="A257" s="21"/>
      <c r="B257" s="22"/>
      <c r="C257" s="4"/>
      <c r="D257" s="7"/>
      <c r="E257" s="7"/>
      <c r="F257" s="4"/>
      <c r="G257" s="4"/>
      <c r="H257" s="4"/>
      <c r="I257" s="77"/>
      <c r="J257" s="156"/>
      <c r="K257" s="77"/>
      <c r="L257" s="78"/>
      <c r="M257" s="78"/>
      <c r="N257" s="49"/>
      <c r="O257" s="49" t="e">
        <f>IF($E257="posto/hora extra",0,IF(OR(E257="posto/dia",E257="posto/dia líder"),VLOOKUP($C257,'Indicadores Financeiros'!$A$107:$J$119,8,FALSE)+VLOOKUP($C257,'Indicadores Financeiros'!$A$107:$J$119,9,FALSE)+VLOOKUP($C257,'Indicadores Financeiros'!$A$107:$J$119,10,FALSE),IF('Indicadores Financeiros'!$J$91=0,0,(VLOOKUP($C257,'Indicadores Financeiros'!$A$107:$J$119,9,FALSE)+VLOOKUP('Relatório Custo'!$C257,'Indicadores Financeiros'!$A$107:$J$119,10,FALSE)+('Indicadores Financeiros'!$J$87*'Relatório Custo'!$H257)))))</f>
        <v>#N/A</v>
      </c>
      <c r="P257" s="49"/>
      <c r="Q257" s="81"/>
      <c r="R257" s="81"/>
      <c r="S257" s="82"/>
      <c r="T257" s="47"/>
      <c r="U257" s="83"/>
      <c r="V257" s="24"/>
      <c r="W257" s="91"/>
      <c r="X257" s="20"/>
      <c r="Y257" s="114"/>
      <c r="Z257" s="43"/>
      <c r="AA257" s="41"/>
      <c r="AB257" s="25"/>
      <c r="AC257" s="23"/>
      <c r="AD257" s="23"/>
      <c r="AE257" s="154"/>
      <c r="AF257" s="155"/>
      <c r="AG257" s="155"/>
      <c r="AH257" s="31"/>
      <c r="AI257" s="31"/>
      <c r="AJ257" s="31"/>
      <c r="AK257" s="31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  <c r="IV257" s="25"/>
      <c r="IW257" s="25"/>
      <c r="IX257" s="25"/>
      <c r="IY257" s="25"/>
      <c r="IZ257" s="25"/>
      <c r="JA257" s="25"/>
      <c r="JB257" s="25"/>
      <c r="JC257" s="25"/>
      <c r="JD257" s="25"/>
      <c r="JE257" s="25"/>
      <c r="JF257" s="25"/>
      <c r="JG257" s="25"/>
      <c r="JH257" s="25"/>
      <c r="JI257" s="25"/>
      <c r="JJ257" s="25"/>
      <c r="JK257" s="25"/>
      <c r="JL257" s="25"/>
      <c r="JM257" s="25"/>
      <c r="JN257" s="25"/>
      <c r="JO257" s="25"/>
      <c r="JP257" s="25"/>
      <c r="JQ257" s="25"/>
      <c r="JR257" s="25"/>
      <c r="JS257" s="25"/>
      <c r="JT257" s="25"/>
      <c r="JU257" s="25"/>
      <c r="JV257" s="25"/>
      <c r="JW257" s="25"/>
      <c r="JX257" s="25"/>
      <c r="JY257" s="25"/>
      <c r="JZ257" s="25"/>
      <c r="KA257" s="25"/>
      <c r="KB257" s="25"/>
      <c r="KC257" s="25"/>
      <c r="KD257" s="25"/>
      <c r="KE257" s="25"/>
      <c r="KF257" s="25"/>
      <c r="KG257" s="25"/>
      <c r="KH257" s="25"/>
      <c r="KI257" s="25"/>
      <c r="KJ257" s="25"/>
      <c r="KK257" s="25"/>
      <c r="KL257" s="25"/>
      <c r="KM257" s="25"/>
      <c r="KN257" s="25"/>
      <c r="KO257" s="25"/>
      <c r="KP257" s="25"/>
      <c r="KQ257" s="25"/>
      <c r="KR257" s="25"/>
      <c r="KS257" s="25"/>
      <c r="KT257" s="25"/>
      <c r="KU257" s="25"/>
      <c r="KV257" s="25"/>
      <c r="KW257" s="25"/>
      <c r="KX257" s="25"/>
      <c r="KY257" s="25"/>
      <c r="KZ257" s="25"/>
      <c r="LA257" s="25"/>
      <c r="LB257" s="25"/>
      <c r="LC257" s="25"/>
      <c r="LD257" s="25"/>
      <c r="LE257" s="25"/>
      <c r="LF257" s="25"/>
      <c r="LG257" s="25"/>
      <c r="LH257" s="25"/>
      <c r="LI257" s="25"/>
      <c r="LJ257" s="25"/>
      <c r="LK257" s="25"/>
      <c r="LL257" s="25"/>
      <c r="LM257" s="25"/>
      <c r="LN257" s="25"/>
      <c r="LO257" s="25"/>
      <c r="LP257" s="25"/>
      <c r="LQ257" s="25"/>
      <c r="LR257" s="25"/>
      <c r="LS257" s="25"/>
      <c r="LT257" s="25"/>
      <c r="LU257" s="25"/>
      <c r="LV257" s="25"/>
      <c r="LW257" s="25"/>
      <c r="LX257" s="25"/>
      <c r="LY257" s="25"/>
      <c r="LZ257" s="25"/>
      <c r="MA257" s="25"/>
      <c r="MB257" s="25"/>
      <c r="MC257" s="25"/>
      <c r="MD257" s="25"/>
      <c r="ME257" s="25"/>
      <c r="MF257" s="25"/>
      <c r="MG257" s="25"/>
      <c r="MH257" s="25"/>
    </row>
    <row r="258" spans="1:346" s="26" customFormat="1">
      <c r="A258" s="21"/>
      <c r="B258" s="22"/>
      <c r="C258" s="4"/>
      <c r="D258" s="7"/>
      <c r="E258" s="7"/>
      <c r="F258" s="4"/>
      <c r="G258" s="4"/>
      <c r="H258" s="4"/>
      <c r="I258" s="77"/>
      <c r="J258" s="156"/>
      <c r="K258" s="77"/>
      <c r="L258" s="78"/>
      <c r="M258" s="78"/>
      <c r="N258" s="49"/>
      <c r="O258" s="49" t="e">
        <f>IF($E258="posto/hora extra",0,IF(OR(E258="posto/dia",E258="posto/dia líder"),VLOOKUP($C258,'Indicadores Financeiros'!$A$107:$J$119,8,FALSE)+VLOOKUP($C258,'Indicadores Financeiros'!$A$107:$J$119,9,FALSE)+VLOOKUP($C258,'Indicadores Financeiros'!$A$107:$J$119,10,FALSE),IF('Indicadores Financeiros'!$J$91=0,0,(VLOOKUP($C258,'Indicadores Financeiros'!$A$107:$J$119,9,FALSE)+VLOOKUP('Relatório Custo'!$C258,'Indicadores Financeiros'!$A$107:$J$119,10,FALSE)+('Indicadores Financeiros'!$J$87*'Relatório Custo'!$H258)))))</f>
        <v>#N/A</v>
      </c>
      <c r="P258" s="49"/>
      <c r="Q258" s="81"/>
      <c r="R258" s="81"/>
      <c r="S258" s="82"/>
      <c r="T258" s="47"/>
      <c r="U258" s="83"/>
      <c r="V258" s="24"/>
      <c r="W258" s="91"/>
      <c r="X258" s="20"/>
      <c r="Y258" s="114"/>
      <c r="Z258" s="43"/>
      <c r="AA258" s="41"/>
      <c r="AB258" s="25"/>
      <c r="AC258" s="23"/>
      <c r="AD258" s="23"/>
      <c r="AE258" s="154"/>
      <c r="AF258" s="155"/>
      <c r="AG258" s="155"/>
      <c r="AH258" s="31"/>
      <c r="AI258" s="31"/>
      <c r="AJ258" s="31"/>
      <c r="AK258" s="31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  <c r="IW258" s="25"/>
      <c r="IX258" s="25"/>
      <c r="IY258" s="25"/>
      <c r="IZ258" s="25"/>
      <c r="JA258" s="25"/>
      <c r="JB258" s="25"/>
      <c r="JC258" s="25"/>
      <c r="JD258" s="25"/>
      <c r="JE258" s="25"/>
      <c r="JF258" s="25"/>
      <c r="JG258" s="25"/>
      <c r="JH258" s="25"/>
      <c r="JI258" s="25"/>
      <c r="JJ258" s="25"/>
      <c r="JK258" s="25"/>
      <c r="JL258" s="25"/>
      <c r="JM258" s="25"/>
      <c r="JN258" s="25"/>
      <c r="JO258" s="25"/>
      <c r="JP258" s="25"/>
      <c r="JQ258" s="25"/>
      <c r="JR258" s="25"/>
      <c r="JS258" s="25"/>
      <c r="JT258" s="25"/>
      <c r="JU258" s="25"/>
      <c r="JV258" s="25"/>
      <c r="JW258" s="25"/>
      <c r="JX258" s="25"/>
      <c r="JY258" s="25"/>
      <c r="JZ258" s="25"/>
      <c r="KA258" s="25"/>
      <c r="KB258" s="25"/>
      <c r="KC258" s="25"/>
      <c r="KD258" s="25"/>
      <c r="KE258" s="25"/>
      <c r="KF258" s="25"/>
      <c r="KG258" s="25"/>
      <c r="KH258" s="25"/>
      <c r="KI258" s="25"/>
      <c r="KJ258" s="25"/>
      <c r="KK258" s="25"/>
      <c r="KL258" s="25"/>
      <c r="KM258" s="25"/>
      <c r="KN258" s="25"/>
      <c r="KO258" s="25"/>
      <c r="KP258" s="25"/>
      <c r="KQ258" s="25"/>
      <c r="KR258" s="25"/>
      <c r="KS258" s="25"/>
      <c r="KT258" s="25"/>
      <c r="KU258" s="25"/>
      <c r="KV258" s="25"/>
      <c r="KW258" s="25"/>
      <c r="KX258" s="25"/>
      <c r="KY258" s="25"/>
      <c r="KZ258" s="25"/>
      <c r="LA258" s="25"/>
      <c r="LB258" s="25"/>
      <c r="LC258" s="25"/>
      <c r="LD258" s="25"/>
      <c r="LE258" s="25"/>
      <c r="LF258" s="25"/>
      <c r="LG258" s="25"/>
      <c r="LH258" s="25"/>
      <c r="LI258" s="25"/>
      <c r="LJ258" s="25"/>
      <c r="LK258" s="25"/>
      <c r="LL258" s="25"/>
      <c r="LM258" s="25"/>
      <c r="LN258" s="25"/>
      <c r="LO258" s="25"/>
      <c r="LP258" s="25"/>
      <c r="LQ258" s="25"/>
      <c r="LR258" s="25"/>
      <c r="LS258" s="25"/>
      <c r="LT258" s="25"/>
      <c r="LU258" s="25"/>
      <c r="LV258" s="25"/>
      <c r="LW258" s="25"/>
      <c r="LX258" s="25"/>
      <c r="LY258" s="25"/>
      <c r="LZ258" s="25"/>
      <c r="MA258" s="25"/>
      <c r="MB258" s="25"/>
      <c r="MC258" s="25"/>
      <c r="MD258" s="25"/>
      <c r="ME258" s="25"/>
      <c r="MF258" s="25"/>
      <c r="MG258" s="25"/>
      <c r="MH258" s="25"/>
    </row>
    <row r="259" spans="1:346" s="26" customFormat="1">
      <c r="A259" s="21"/>
      <c r="B259" s="22"/>
      <c r="C259" s="4"/>
      <c r="D259" s="7"/>
      <c r="E259" s="7"/>
      <c r="F259" s="4"/>
      <c r="G259" s="4"/>
      <c r="H259" s="4"/>
      <c r="I259" s="77"/>
      <c r="J259" s="156"/>
      <c r="K259" s="77"/>
      <c r="L259" s="78"/>
      <c r="M259" s="78"/>
      <c r="N259" s="49"/>
      <c r="O259" s="49" t="e">
        <f>IF($E259="posto/hora extra",0,IF(OR(E259="posto/dia",E259="posto/dia líder"),VLOOKUP($C259,'Indicadores Financeiros'!$A$107:$J$119,8,FALSE)+VLOOKUP($C259,'Indicadores Financeiros'!$A$107:$J$119,9,FALSE)+VLOOKUP($C259,'Indicadores Financeiros'!$A$107:$J$119,10,FALSE),IF('Indicadores Financeiros'!$J$91=0,0,(VLOOKUP($C259,'Indicadores Financeiros'!$A$107:$J$119,9,FALSE)+VLOOKUP('Relatório Custo'!$C259,'Indicadores Financeiros'!$A$107:$J$119,10,FALSE)+('Indicadores Financeiros'!$J$87*'Relatório Custo'!$H259)))))</f>
        <v>#N/A</v>
      </c>
      <c r="P259" s="49"/>
      <c r="Q259" s="81"/>
      <c r="R259" s="81"/>
      <c r="S259" s="82"/>
      <c r="T259" s="47"/>
      <c r="U259" s="83"/>
      <c r="V259" s="24"/>
      <c r="W259" s="91"/>
      <c r="X259" s="20"/>
      <c r="Y259" s="114"/>
      <c r="Z259" s="43"/>
      <c r="AA259" s="41"/>
      <c r="AB259" s="25"/>
      <c r="AC259" s="23"/>
      <c r="AD259" s="23"/>
      <c r="AE259" s="154"/>
      <c r="AF259" s="155"/>
      <c r="AG259" s="155"/>
      <c r="AH259" s="31"/>
      <c r="AI259" s="31"/>
      <c r="AJ259" s="31"/>
      <c r="AK259" s="31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  <c r="IV259" s="25"/>
      <c r="IW259" s="25"/>
      <c r="IX259" s="25"/>
      <c r="IY259" s="25"/>
      <c r="IZ259" s="25"/>
      <c r="JA259" s="25"/>
      <c r="JB259" s="25"/>
      <c r="JC259" s="25"/>
      <c r="JD259" s="25"/>
      <c r="JE259" s="25"/>
      <c r="JF259" s="25"/>
      <c r="JG259" s="25"/>
      <c r="JH259" s="25"/>
      <c r="JI259" s="25"/>
      <c r="JJ259" s="25"/>
      <c r="JK259" s="25"/>
      <c r="JL259" s="25"/>
      <c r="JM259" s="25"/>
      <c r="JN259" s="25"/>
      <c r="JO259" s="25"/>
      <c r="JP259" s="25"/>
      <c r="JQ259" s="25"/>
      <c r="JR259" s="25"/>
      <c r="JS259" s="25"/>
      <c r="JT259" s="25"/>
      <c r="JU259" s="25"/>
      <c r="JV259" s="25"/>
      <c r="JW259" s="25"/>
      <c r="JX259" s="25"/>
      <c r="JY259" s="25"/>
      <c r="JZ259" s="25"/>
      <c r="KA259" s="25"/>
      <c r="KB259" s="25"/>
      <c r="KC259" s="25"/>
      <c r="KD259" s="25"/>
      <c r="KE259" s="25"/>
      <c r="KF259" s="25"/>
      <c r="KG259" s="25"/>
      <c r="KH259" s="25"/>
      <c r="KI259" s="25"/>
      <c r="KJ259" s="25"/>
      <c r="KK259" s="25"/>
      <c r="KL259" s="25"/>
      <c r="KM259" s="25"/>
      <c r="KN259" s="25"/>
      <c r="KO259" s="25"/>
      <c r="KP259" s="25"/>
      <c r="KQ259" s="25"/>
      <c r="KR259" s="25"/>
      <c r="KS259" s="25"/>
      <c r="KT259" s="25"/>
      <c r="KU259" s="25"/>
      <c r="KV259" s="25"/>
      <c r="KW259" s="25"/>
      <c r="KX259" s="25"/>
      <c r="KY259" s="25"/>
      <c r="KZ259" s="25"/>
      <c r="LA259" s="25"/>
      <c r="LB259" s="25"/>
      <c r="LC259" s="25"/>
      <c r="LD259" s="25"/>
      <c r="LE259" s="25"/>
      <c r="LF259" s="25"/>
      <c r="LG259" s="25"/>
      <c r="LH259" s="25"/>
      <c r="LI259" s="25"/>
      <c r="LJ259" s="25"/>
      <c r="LK259" s="25"/>
      <c r="LL259" s="25"/>
      <c r="LM259" s="25"/>
      <c r="LN259" s="25"/>
      <c r="LO259" s="25"/>
      <c r="LP259" s="25"/>
      <c r="LQ259" s="25"/>
      <c r="LR259" s="25"/>
      <c r="LS259" s="25"/>
      <c r="LT259" s="25"/>
      <c r="LU259" s="25"/>
      <c r="LV259" s="25"/>
      <c r="LW259" s="25"/>
      <c r="LX259" s="25"/>
      <c r="LY259" s="25"/>
      <c r="LZ259" s="25"/>
      <c r="MA259" s="25"/>
      <c r="MB259" s="25"/>
      <c r="MC259" s="25"/>
      <c r="MD259" s="25"/>
      <c r="ME259" s="25"/>
      <c r="MF259" s="25"/>
      <c r="MG259" s="25"/>
      <c r="MH259" s="25"/>
    </row>
    <row r="260" spans="1:346" s="26" customFormat="1">
      <c r="A260" s="21"/>
      <c r="B260" s="22"/>
      <c r="C260" s="4"/>
      <c r="D260" s="7"/>
      <c r="E260" s="7"/>
      <c r="F260" s="4"/>
      <c r="G260" s="4"/>
      <c r="H260" s="4"/>
      <c r="I260" s="77"/>
      <c r="J260" s="156"/>
      <c r="K260" s="77"/>
      <c r="L260" s="78"/>
      <c r="M260" s="78"/>
      <c r="N260" s="49"/>
      <c r="O260" s="49" t="e">
        <f>IF($E260="posto/hora extra",0,IF(OR(E260="posto/dia",E260="posto/dia líder"),VLOOKUP($C260,'Indicadores Financeiros'!$A$107:$J$119,8,FALSE)+VLOOKUP($C260,'Indicadores Financeiros'!$A$107:$J$119,9,FALSE)+VLOOKUP($C260,'Indicadores Financeiros'!$A$107:$J$119,10,FALSE),IF('Indicadores Financeiros'!$J$91=0,0,(VLOOKUP($C260,'Indicadores Financeiros'!$A$107:$J$119,9,FALSE)+VLOOKUP('Relatório Custo'!$C260,'Indicadores Financeiros'!$A$107:$J$119,10,FALSE)+('Indicadores Financeiros'!$J$87*'Relatório Custo'!$H260)))))</f>
        <v>#N/A</v>
      </c>
      <c r="P260" s="49"/>
      <c r="Q260" s="81"/>
      <c r="R260" s="81"/>
      <c r="S260" s="82"/>
      <c r="T260" s="47"/>
      <c r="U260" s="83"/>
      <c r="V260" s="24"/>
      <c r="W260" s="91"/>
      <c r="X260" s="20"/>
      <c r="Y260" s="114"/>
      <c r="Z260" s="43"/>
      <c r="AA260" s="41"/>
      <c r="AB260" s="25"/>
      <c r="AC260" s="23"/>
      <c r="AD260" s="23"/>
      <c r="AE260" s="154"/>
      <c r="AF260" s="155"/>
      <c r="AG260" s="155"/>
      <c r="AH260" s="31"/>
      <c r="AI260" s="31"/>
      <c r="AJ260" s="31"/>
      <c r="AK260" s="31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  <c r="IW260" s="25"/>
      <c r="IX260" s="25"/>
      <c r="IY260" s="25"/>
      <c r="IZ260" s="25"/>
      <c r="JA260" s="25"/>
      <c r="JB260" s="25"/>
      <c r="JC260" s="25"/>
      <c r="JD260" s="25"/>
      <c r="JE260" s="25"/>
      <c r="JF260" s="25"/>
      <c r="JG260" s="25"/>
      <c r="JH260" s="25"/>
      <c r="JI260" s="25"/>
      <c r="JJ260" s="25"/>
      <c r="JK260" s="25"/>
      <c r="JL260" s="25"/>
      <c r="JM260" s="25"/>
      <c r="JN260" s="25"/>
      <c r="JO260" s="25"/>
      <c r="JP260" s="25"/>
      <c r="JQ260" s="25"/>
      <c r="JR260" s="25"/>
      <c r="JS260" s="25"/>
      <c r="JT260" s="25"/>
      <c r="JU260" s="25"/>
      <c r="JV260" s="25"/>
      <c r="JW260" s="25"/>
      <c r="JX260" s="25"/>
      <c r="JY260" s="25"/>
      <c r="JZ260" s="25"/>
      <c r="KA260" s="25"/>
      <c r="KB260" s="25"/>
      <c r="KC260" s="25"/>
      <c r="KD260" s="25"/>
      <c r="KE260" s="25"/>
      <c r="KF260" s="25"/>
      <c r="KG260" s="25"/>
      <c r="KH260" s="25"/>
      <c r="KI260" s="25"/>
      <c r="KJ260" s="25"/>
      <c r="KK260" s="25"/>
      <c r="KL260" s="25"/>
      <c r="KM260" s="25"/>
      <c r="KN260" s="25"/>
      <c r="KO260" s="25"/>
      <c r="KP260" s="25"/>
      <c r="KQ260" s="25"/>
      <c r="KR260" s="25"/>
      <c r="KS260" s="25"/>
      <c r="KT260" s="25"/>
      <c r="KU260" s="25"/>
      <c r="KV260" s="25"/>
      <c r="KW260" s="25"/>
      <c r="KX260" s="25"/>
      <c r="KY260" s="25"/>
      <c r="KZ260" s="25"/>
      <c r="LA260" s="25"/>
      <c r="LB260" s="25"/>
      <c r="LC260" s="25"/>
      <c r="LD260" s="25"/>
      <c r="LE260" s="25"/>
      <c r="LF260" s="25"/>
      <c r="LG260" s="25"/>
      <c r="LH260" s="25"/>
      <c r="LI260" s="25"/>
      <c r="LJ260" s="25"/>
      <c r="LK260" s="25"/>
      <c r="LL260" s="25"/>
      <c r="LM260" s="25"/>
      <c r="LN260" s="25"/>
      <c r="LO260" s="25"/>
      <c r="LP260" s="25"/>
      <c r="LQ260" s="25"/>
      <c r="LR260" s="25"/>
      <c r="LS260" s="25"/>
      <c r="LT260" s="25"/>
      <c r="LU260" s="25"/>
      <c r="LV260" s="25"/>
      <c r="LW260" s="25"/>
      <c r="LX260" s="25"/>
      <c r="LY260" s="25"/>
      <c r="LZ260" s="25"/>
      <c r="MA260" s="25"/>
      <c r="MB260" s="25"/>
      <c r="MC260" s="25"/>
      <c r="MD260" s="25"/>
      <c r="ME260" s="25"/>
      <c r="MF260" s="25"/>
      <c r="MG260" s="25"/>
      <c r="MH260" s="25"/>
    </row>
    <row r="261" spans="1:346" s="26" customFormat="1">
      <c r="A261" s="21"/>
      <c r="B261" s="22"/>
      <c r="C261" s="4"/>
      <c r="D261" s="7"/>
      <c r="E261" s="7"/>
      <c r="F261" s="4"/>
      <c r="G261" s="4"/>
      <c r="H261" s="4"/>
      <c r="I261" s="77"/>
      <c r="J261" s="156"/>
      <c r="K261" s="77"/>
      <c r="L261" s="78"/>
      <c r="M261" s="78"/>
      <c r="N261" s="49"/>
      <c r="O261" s="49" t="e">
        <f>IF($E261="posto/hora extra",0,IF(OR(E261="posto/dia",E261="posto/dia líder"),VLOOKUP($C261,'Indicadores Financeiros'!$A$107:$J$119,8,FALSE)+VLOOKUP($C261,'Indicadores Financeiros'!$A$107:$J$119,9,FALSE)+VLOOKUP($C261,'Indicadores Financeiros'!$A$107:$J$119,10,FALSE),IF('Indicadores Financeiros'!$J$91=0,0,(VLOOKUP($C261,'Indicadores Financeiros'!$A$107:$J$119,9,FALSE)+VLOOKUP('Relatório Custo'!$C261,'Indicadores Financeiros'!$A$107:$J$119,10,FALSE)+('Indicadores Financeiros'!$J$87*'Relatório Custo'!$H261)))))</f>
        <v>#N/A</v>
      </c>
      <c r="P261" s="49"/>
      <c r="Q261" s="81"/>
      <c r="R261" s="81"/>
      <c r="S261" s="82"/>
      <c r="T261" s="47"/>
      <c r="U261" s="83"/>
      <c r="V261" s="24"/>
      <c r="W261" s="91"/>
      <c r="X261" s="20"/>
      <c r="Y261" s="114"/>
      <c r="Z261" s="43"/>
      <c r="AA261" s="41"/>
      <c r="AB261" s="25"/>
      <c r="AC261" s="23"/>
      <c r="AD261" s="23"/>
      <c r="AE261" s="154"/>
      <c r="AF261" s="155"/>
      <c r="AG261" s="155"/>
      <c r="AH261" s="31"/>
      <c r="AI261" s="31"/>
      <c r="AJ261" s="31"/>
      <c r="AK261" s="31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  <c r="IV261" s="25"/>
      <c r="IW261" s="25"/>
      <c r="IX261" s="25"/>
      <c r="IY261" s="25"/>
      <c r="IZ261" s="25"/>
      <c r="JA261" s="25"/>
      <c r="JB261" s="25"/>
      <c r="JC261" s="25"/>
      <c r="JD261" s="25"/>
      <c r="JE261" s="25"/>
      <c r="JF261" s="25"/>
      <c r="JG261" s="25"/>
      <c r="JH261" s="25"/>
      <c r="JI261" s="25"/>
      <c r="JJ261" s="25"/>
      <c r="JK261" s="25"/>
      <c r="JL261" s="25"/>
      <c r="JM261" s="25"/>
      <c r="JN261" s="25"/>
      <c r="JO261" s="25"/>
      <c r="JP261" s="25"/>
      <c r="JQ261" s="25"/>
      <c r="JR261" s="25"/>
      <c r="JS261" s="25"/>
      <c r="JT261" s="25"/>
      <c r="JU261" s="25"/>
      <c r="JV261" s="25"/>
      <c r="JW261" s="25"/>
      <c r="JX261" s="25"/>
      <c r="JY261" s="25"/>
      <c r="JZ261" s="25"/>
      <c r="KA261" s="25"/>
      <c r="KB261" s="25"/>
      <c r="KC261" s="25"/>
      <c r="KD261" s="25"/>
      <c r="KE261" s="25"/>
      <c r="KF261" s="25"/>
      <c r="KG261" s="25"/>
      <c r="KH261" s="25"/>
      <c r="KI261" s="25"/>
      <c r="KJ261" s="25"/>
      <c r="KK261" s="25"/>
      <c r="KL261" s="25"/>
      <c r="KM261" s="25"/>
      <c r="KN261" s="25"/>
      <c r="KO261" s="25"/>
      <c r="KP261" s="25"/>
      <c r="KQ261" s="25"/>
      <c r="KR261" s="25"/>
      <c r="KS261" s="25"/>
      <c r="KT261" s="25"/>
      <c r="KU261" s="25"/>
      <c r="KV261" s="25"/>
      <c r="KW261" s="25"/>
      <c r="KX261" s="25"/>
      <c r="KY261" s="25"/>
      <c r="KZ261" s="25"/>
      <c r="LA261" s="25"/>
      <c r="LB261" s="25"/>
      <c r="LC261" s="25"/>
      <c r="LD261" s="25"/>
      <c r="LE261" s="25"/>
      <c r="LF261" s="25"/>
      <c r="LG261" s="25"/>
      <c r="LH261" s="25"/>
      <c r="LI261" s="25"/>
      <c r="LJ261" s="25"/>
      <c r="LK261" s="25"/>
      <c r="LL261" s="25"/>
      <c r="LM261" s="25"/>
      <c r="LN261" s="25"/>
      <c r="LO261" s="25"/>
      <c r="LP261" s="25"/>
      <c r="LQ261" s="25"/>
      <c r="LR261" s="25"/>
      <c r="LS261" s="25"/>
      <c r="LT261" s="25"/>
      <c r="LU261" s="25"/>
      <c r="LV261" s="25"/>
      <c r="LW261" s="25"/>
      <c r="LX261" s="25"/>
      <c r="LY261" s="25"/>
      <c r="LZ261" s="25"/>
      <c r="MA261" s="25"/>
      <c r="MB261" s="25"/>
      <c r="MC261" s="25"/>
      <c r="MD261" s="25"/>
      <c r="ME261" s="25"/>
      <c r="MF261" s="25"/>
      <c r="MG261" s="25"/>
      <c r="MH261" s="25"/>
    </row>
    <row r="262" spans="1:346" s="26" customFormat="1">
      <c r="A262" s="21"/>
      <c r="B262" s="22"/>
      <c r="C262" s="4"/>
      <c r="D262" s="7"/>
      <c r="E262" s="7"/>
      <c r="F262" s="4"/>
      <c r="G262" s="4"/>
      <c r="H262" s="4"/>
      <c r="I262" s="77"/>
      <c r="J262" s="156"/>
      <c r="K262" s="77"/>
      <c r="L262" s="78"/>
      <c r="M262" s="78"/>
      <c r="N262" s="49"/>
      <c r="O262" s="49" t="e">
        <f>IF($E262="posto/hora extra",0,IF(OR(E262="posto/dia",E262="posto/dia líder"),VLOOKUP($C262,'Indicadores Financeiros'!$A$107:$J$119,8,FALSE)+VLOOKUP($C262,'Indicadores Financeiros'!$A$107:$J$119,9,FALSE)+VLOOKUP($C262,'Indicadores Financeiros'!$A$107:$J$119,10,FALSE),IF('Indicadores Financeiros'!$J$91=0,0,(VLOOKUP($C262,'Indicadores Financeiros'!$A$107:$J$119,9,FALSE)+VLOOKUP('Relatório Custo'!$C262,'Indicadores Financeiros'!$A$107:$J$119,10,FALSE)+('Indicadores Financeiros'!$J$87*'Relatório Custo'!$H262)))))</f>
        <v>#N/A</v>
      </c>
      <c r="P262" s="49"/>
      <c r="Q262" s="81"/>
      <c r="R262" s="81"/>
      <c r="S262" s="82"/>
      <c r="T262" s="47"/>
      <c r="U262" s="83"/>
      <c r="V262" s="24"/>
      <c r="W262" s="91"/>
      <c r="X262" s="20"/>
      <c r="Y262" s="114"/>
      <c r="Z262" s="43"/>
      <c r="AA262" s="41"/>
      <c r="AB262" s="25"/>
      <c r="AC262" s="23"/>
      <c r="AD262" s="23"/>
      <c r="AE262" s="154"/>
      <c r="AF262" s="155"/>
      <c r="AG262" s="155"/>
      <c r="AH262" s="31"/>
      <c r="AI262" s="31"/>
      <c r="AJ262" s="31"/>
      <c r="AK262" s="31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  <c r="IW262" s="25"/>
      <c r="IX262" s="25"/>
      <c r="IY262" s="25"/>
      <c r="IZ262" s="25"/>
      <c r="JA262" s="25"/>
      <c r="JB262" s="25"/>
      <c r="JC262" s="25"/>
      <c r="JD262" s="25"/>
      <c r="JE262" s="25"/>
      <c r="JF262" s="25"/>
      <c r="JG262" s="25"/>
      <c r="JH262" s="25"/>
      <c r="JI262" s="25"/>
      <c r="JJ262" s="25"/>
      <c r="JK262" s="25"/>
      <c r="JL262" s="25"/>
      <c r="JM262" s="25"/>
      <c r="JN262" s="25"/>
      <c r="JO262" s="25"/>
      <c r="JP262" s="25"/>
      <c r="JQ262" s="25"/>
      <c r="JR262" s="25"/>
      <c r="JS262" s="25"/>
      <c r="JT262" s="25"/>
      <c r="JU262" s="25"/>
      <c r="JV262" s="25"/>
      <c r="JW262" s="25"/>
      <c r="JX262" s="25"/>
      <c r="JY262" s="25"/>
      <c r="JZ262" s="25"/>
      <c r="KA262" s="25"/>
      <c r="KB262" s="25"/>
      <c r="KC262" s="25"/>
      <c r="KD262" s="25"/>
      <c r="KE262" s="25"/>
      <c r="KF262" s="25"/>
      <c r="KG262" s="25"/>
      <c r="KH262" s="25"/>
      <c r="KI262" s="25"/>
      <c r="KJ262" s="25"/>
      <c r="KK262" s="25"/>
      <c r="KL262" s="25"/>
      <c r="KM262" s="25"/>
      <c r="KN262" s="25"/>
      <c r="KO262" s="25"/>
      <c r="KP262" s="25"/>
      <c r="KQ262" s="25"/>
      <c r="KR262" s="25"/>
      <c r="KS262" s="25"/>
      <c r="KT262" s="25"/>
      <c r="KU262" s="25"/>
      <c r="KV262" s="25"/>
      <c r="KW262" s="25"/>
      <c r="KX262" s="25"/>
      <c r="KY262" s="25"/>
      <c r="KZ262" s="25"/>
      <c r="LA262" s="25"/>
      <c r="LB262" s="25"/>
      <c r="LC262" s="25"/>
      <c r="LD262" s="25"/>
      <c r="LE262" s="25"/>
      <c r="LF262" s="25"/>
      <c r="LG262" s="25"/>
      <c r="LH262" s="25"/>
      <c r="LI262" s="25"/>
      <c r="LJ262" s="25"/>
      <c r="LK262" s="25"/>
      <c r="LL262" s="25"/>
      <c r="LM262" s="25"/>
      <c r="LN262" s="25"/>
      <c r="LO262" s="25"/>
      <c r="LP262" s="25"/>
      <c r="LQ262" s="25"/>
      <c r="LR262" s="25"/>
      <c r="LS262" s="25"/>
      <c r="LT262" s="25"/>
      <c r="LU262" s="25"/>
      <c r="LV262" s="25"/>
      <c r="LW262" s="25"/>
      <c r="LX262" s="25"/>
      <c r="LY262" s="25"/>
      <c r="LZ262" s="25"/>
      <c r="MA262" s="25"/>
      <c r="MB262" s="25"/>
      <c r="MC262" s="25"/>
      <c r="MD262" s="25"/>
      <c r="ME262" s="25"/>
      <c r="MF262" s="25"/>
      <c r="MG262" s="25"/>
      <c r="MH262" s="25"/>
    </row>
    <row r="263" spans="1:346" s="26" customFormat="1">
      <c r="A263" s="21"/>
      <c r="B263" s="22"/>
      <c r="C263" s="4"/>
      <c r="D263" s="7"/>
      <c r="E263" s="7"/>
      <c r="F263" s="4"/>
      <c r="G263" s="4"/>
      <c r="H263" s="4"/>
      <c r="I263" s="77"/>
      <c r="J263" s="156"/>
      <c r="K263" s="77"/>
      <c r="L263" s="78"/>
      <c r="M263" s="78"/>
      <c r="N263" s="49"/>
      <c r="O263" s="49" t="e">
        <f>IF($E263="posto/hora extra",0,IF(OR(E263="posto/dia",E263="posto/dia líder"),VLOOKUP($C263,'Indicadores Financeiros'!$A$107:$J$119,8,FALSE)+VLOOKUP($C263,'Indicadores Financeiros'!$A$107:$J$119,9,FALSE)+VLOOKUP($C263,'Indicadores Financeiros'!$A$107:$J$119,10,FALSE),IF('Indicadores Financeiros'!$J$91=0,0,(VLOOKUP($C263,'Indicadores Financeiros'!$A$107:$J$119,9,FALSE)+VLOOKUP('Relatório Custo'!$C263,'Indicadores Financeiros'!$A$107:$J$119,10,FALSE)+('Indicadores Financeiros'!$J$87*'Relatório Custo'!$H263)))))</f>
        <v>#N/A</v>
      </c>
      <c r="P263" s="49"/>
      <c r="Q263" s="81"/>
      <c r="R263" s="81"/>
      <c r="S263" s="82"/>
      <c r="T263" s="47"/>
      <c r="U263" s="83"/>
      <c r="V263" s="24"/>
      <c r="W263" s="91"/>
      <c r="X263" s="20"/>
      <c r="Y263" s="114"/>
      <c r="Z263" s="43"/>
      <c r="AA263" s="41"/>
      <c r="AB263" s="25"/>
      <c r="AC263" s="23"/>
      <c r="AD263" s="23"/>
      <c r="AE263" s="154"/>
      <c r="AF263" s="155"/>
      <c r="AG263" s="155"/>
      <c r="AH263" s="31"/>
      <c r="AI263" s="31"/>
      <c r="AJ263" s="31"/>
      <c r="AK263" s="31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  <c r="IV263" s="25"/>
      <c r="IW263" s="25"/>
      <c r="IX263" s="25"/>
      <c r="IY263" s="25"/>
      <c r="IZ263" s="25"/>
      <c r="JA263" s="25"/>
      <c r="JB263" s="25"/>
      <c r="JC263" s="25"/>
      <c r="JD263" s="25"/>
      <c r="JE263" s="25"/>
      <c r="JF263" s="25"/>
      <c r="JG263" s="25"/>
      <c r="JH263" s="25"/>
      <c r="JI263" s="25"/>
      <c r="JJ263" s="25"/>
      <c r="JK263" s="25"/>
      <c r="JL263" s="25"/>
      <c r="JM263" s="25"/>
      <c r="JN263" s="25"/>
      <c r="JO263" s="25"/>
      <c r="JP263" s="25"/>
      <c r="JQ263" s="25"/>
      <c r="JR263" s="25"/>
      <c r="JS263" s="25"/>
      <c r="JT263" s="25"/>
      <c r="JU263" s="25"/>
      <c r="JV263" s="25"/>
      <c r="JW263" s="25"/>
      <c r="JX263" s="25"/>
      <c r="JY263" s="25"/>
      <c r="JZ263" s="25"/>
      <c r="KA263" s="25"/>
      <c r="KB263" s="25"/>
      <c r="KC263" s="25"/>
      <c r="KD263" s="25"/>
      <c r="KE263" s="25"/>
      <c r="KF263" s="25"/>
      <c r="KG263" s="25"/>
      <c r="KH263" s="25"/>
      <c r="KI263" s="25"/>
      <c r="KJ263" s="25"/>
      <c r="KK263" s="25"/>
      <c r="KL263" s="25"/>
      <c r="KM263" s="25"/>
      <c r="KN263" s="25"/>
      <c r="KO263" s="25"/>
      <c r="KP263" s="25"/>
      <c r="KQ263" s="25"/>
      <c r="KR263" s="25"/>
      <c r="KS263" s="25"/>
      <c r="KT263" s="25"/>
      <c r="KU263" s="25"/>
      <c r="KV263" s="25"/>
      <c r="KW263" s="25"/>
      <c r="KX263" s="25"/>
      <c r="KY263" s="25"/>
      <c r="KZ263" s="25"/>
      <c r="LA263" s="25"/>
      <c r="LB263" s="25"/>
      <c r="LC263" s="25"/>
      <c r="LD263" s="25"/>
      <c r="LE263" s="25"/>
      <c r="LF263" s="25"/>
      <c r="LG263" s="25"/>
      <c r="LH263" s="25"/>
      <c r="LI263" s="25"/>
      <c r="LJ263" s="25"/>
      <c r="LK263" s="25"/>
      <c r="LL263" s="25"/>
      <c r="LM263" s="25"/>
      <c r="LN263" s="25"/>
      <c r="LO263" s="25"/>
      <c r="LP263" s="25"/>
      <c r="LQ263" s="25"/>
      <c r="LR263" s="25"/>
      <c r="LS263" s="25"/>
      <c r="LT263" s="25"/>
      <c r="LU263" s="25"/>
      <c r="LV263" s="25"/>
      <c r="LW263" s="25"/>
      <c r="LX263" s="25"/>
      <c r="LY263" s="25"/>
      <c r="LZ263" s="25"/>
      <c r="MA263" s="25"/>
      <c r="MB263" s="25"/>
      <c r="MC263" s="25"/>
      <c r="MD263" s="25"/>
      <c r="ME263" s="25"/>
      <c r="MF263" s="25"/>
      <c r="MG263" s="25"/>
      <c r="MH263" s="25"/>
    </row>
    <row r="264" spans="1:346" s="26" customFormat="1">
      <c r="A264" s="21"/>
      <c r="B264" s="22"/>
      <c r="C264" s="4"/>
      <c r="D264" s="7"/>
      <c r="E264" s="7"/>
      <c r="F264" s="4"/>
      <c r="G264" s="4"/>
      <c r="H264" s="4"/>
      <c r="I264" s="77"/>
      <c r="J264" s="156"/>
      <c r="K264" s="77"/>
      <c r="L264" s="78"/>
      <c r="M264" s="78"/>
      <c r="N264" s="49"/>
      <c r="O264" s="49" t="e">
        <f>IF($E264="posto/hora extra",0,IF(OR(E264="posto/dia",E264="posto/dia líder"),VLOOKUP($C264,'Indicadores Financeiros'!$A$107:$J$119,8,FALSE)+VLOOKUP($C264,'Indicadores Financeiros'!$A$107:$J$119,9,FALSE)+VLOOKUP($C264,'Indicadores Financeiros'!$A$107:$J$119,10,FALSE),IF('Indicadores Financeiros'!$J$91=0,0,(VLOOKUP($C264,'Indicadores Financeiros'!$A$107:$J$119,9,FALSE)+VLOOKUP('Relatório Custo'!$C264,'Indicadores Financeiros'!$A$107:$J$119,10,FALSE)+('Indicadores Financeiros'!$J$87*'Relatório Custo'!$H264)))))</f>
        <v>#N/A</v>
      </c>
      <c r="P264" s="49"/>
      <c r="Q264" s="81"/>
      <c r="R264" s="81"/>
      <c r="S264" s="82"/>
      <c r="T264" s="47"/>
      <c r="U264" s="83"/>
      <c r="V264" s="24"/>
      <c r="W264" s="91"/>
      <c r="X264" s="20"/>
      <c r="Y264" s="114"/>
      <c r="Z264" s="43"/>
      <c r="AA264" s="41"/>
      <c r="AB264" s="25"/>
      <c r="AC264" s="23"/>
      <c r="AD264" s="23"/>
      <c r="AE264" s="154"/>
      <c r="AF264" s="155"/>
      <c r="AG264" s="155"/>
      <c r="AH264" s="31"/>
      <c r="AI264" s="31"/>
      <c r="AJ264" s="31"/>
      <c r="AK264" s="31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  <c r="IV264" s="25"/>
      <c r="IW264" s="25"/>
      <c r="IX264" s="25"/>
      <c r="IY264" s="25"/>
      <c r="IZ264" s="25"/>
      <c r="JA264" s="25"/>
      <c r="JB264" s="25"/>
      <c r="JC264" s="25"/>
      <c r="JD264" s="25"/>
      <c r="JE264" s="25"/>
      <c r="JF264" s="25"/>
      <c r="JG264" s="25"/>
      <c r="JH264" s="25"/>
      <c r="JI264" s="25"/>
      <c r="JJ264" s="25"/>
      <c r="JK264" s="25"/>
      <c r="JL264" s="25"/>
      <c r="JM264" s="25"/>
      <c r="JN264" s="25"/>
      <c r="JO264" s="25"/>
      <c r="JP264" s="25"/>
      <c r="JQ264" s="25"/>
      <c r="JR264" s="25"/>
      <c r="JS264" s="25"/>
      <c r="JT264" s="25"/>
      <c r="JU264" s="25"/>
      <c r="JV264" s="25"/>
      <c r="JW264" s="25"/>
      <c r="JX264" s="25"/>
      <c r="JY264" s="25"/>
      <c r="JZ264" s="25"/>
      <c r="KA264" s="25"/>
      <c r="KB264" s="25"/>
      <c r="KC264" s="25"/>
      <c r="KD264" s="25"/>
      <c r="KE264" s="25"/>
      <c r="KF264" s="25"/>
      <c r="KG264" s="25"/>
      <c r="KH264" s="25"/>
      <c r="KI264" s="25"/>
      <c r="KJ264" s="25"/>
      <c r="KK264" s="25"/>
      <c r="KL264" s="25"/>
      <c r="KM264" s="25"/>
      <c r="KN264" s="25"/>
      <c r="KO264" s="25"/>
      <c r="KP264" s="25"/>
      <c r="KQ264" s="25"/>
      <c r="KR264" s="25"/>
      <c r="KS264" s="25"/>
      <c r="KT264" s="25"/>
      <c r="KU264" s="25"/>
      <c r="KV264" s="25"/>
      <c r="KW264" s="25"/>
      <c r="KX264" s="25"/>
      <c r="KY264" s="25"/>
      <c r="KZ264" s="25"/>
      <c r="LA264" s="25"/>
      <c r="LB264" s="25"/>
      <c r="LC264" s="25"/>
      <c r="LD264" s="25"/>
      <c r="LE264" s="25"/>
      <c r="LF264" s="25"/>
      <c r="LG264" s="25"/>
      <c r="LH264" s="25"/>
      <c r="LI264" s="25"/>
      <c r="LJ264" s="25"/>
      <c r="LK264" s="25"/>
      <c r="LL264" s="25"/>
      <c r="LM264" s="25"/>
      <c r="LN264" s="25"/>
      <c r="LO264" s="25"/>
      <c r="LP264" s="25"/>
      <c r="LQ264" s="25"/>
      <c r="LR264" s="25"/>
      <c r="LS264" s="25"/>
      <c r="LT264" s="25"/>
      <c r="LU264" s="25"/>
      <c r="LV264" s="25"/>
      <c r="LW264" s="25"/>
      <c r="LX264" s="25"/>
      <c r="LY264" s="25"/>
      <c r="LZ264" s="25"/>
      <c r="MA264" s="25"/>
      <c r="MB264" s="25"/>
      <c r="MC264" s="25"/>
      <c r="MD264" s="25"/>
      <c r="ME264" s="25"/>
      <c r="MF264" s="25"/>
      <c r="MG264" s="25"/>
      <c r="MH264" s="25"/>
    </row>
    <row r="265" spans="1:346" s="26" customFormat="1">
      <c r="A265" s="21"/>
      <c r="B265" s="22"/>
      <c r="C265" s="4"/>
      <c r="D265" s="7"/>
      <c r="E265" s="7"/>
      <c r="F265" s="4"/>
      <c r="G265" s="4"/>
      <c r="H265" s="4"/>
      <c r="I265" s="77"/>
      <c r="J265" s="156"/>
      <c r="K265" s="77"/>
      <c r="L265" s="78"/>
      <c r="M265" s="78"/>
      <c r="N265" s="49"/>
      <c r="O265" s="49" t="e">
        <f>IF($E265="posto/hora extra",0,IF(OR(E265="posto/dia",E265="posto/dia líder"),VLOOKUP($C265,'Indicadores Financeiros'!$A$107:$J$119,8,FALSE)+VLOOKUP($C265,'Indicadores Financeiros'!$A$107:$J$119,9,FALSE)+VLOOKUP($C265,'Indicadores Financeiros'!$A$107:$J$119,10,FALSE),IF('Indicadores Financeiros'!$J$91=0,0,(VLOOKUP($C265,'Indicadores Financeiros'!$A$107:$J$119,9,FALSE)+VLOOKUP('Relatório Custo'!$C265,'Indicadores Financeiros'!$A$107:$J$119,10,FALSE)+('Indicadores Financeiros'!$J$87*'Relatório Custo'!$H265)))))</f>
        <v>#N/A</v>
      </c>
      <c r="P265" s="49"/>
      <c r="Q265" s="81"/>
      <c r="R265" s="81"/>
      <c r="S265" s="82"/>
      <c r="T265" s="47"/>
      <c r="U265" s="83"/>
      <c r="V265" s="24"/>
      <c r="W265" s="91"/>
      <c r="X265" s="20"/>
      <c r="Y265" s="114"/>
      <c r="Z265" s="43"/>
      <c r="AA265" s="41"/>
      <c r="AB265" s="25"/>
      <c r="AC265" s="23"/>
      <c r="AD265" s="23"/>
      <c r="AE265" s="154"/>
      <c r="AF265" s="155"/>
      <c r="AG265" s="155"/>
      <c r="AH265" s="31"/>
      <c r="AI265" s="31"/>
      <c r="AJ265" s="31"/>
      <c r="AK265" s="31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  <c r="IW265" s="25"/>
      <c r="IX265" s="25"/>
      <c r="IY265" s="25"/>
      <c r="IZ265" s="25"/>
      <c r="JA265" s="25"/>
      <c r="JB265" s="25"/>
      <c r="JC265" s="25"/>
      <c r="JD265" s="25"/>
      <c r="JE265" s="25"/>
      <c r="JF265" s="25"/>
      <c r="JG265" s="25"/>
      <c r="JH265" s="25"/>
      <c r="JI265" s="25"/>
      <c r="JJ265" s="25"/>
      <c r="JK265" s="25"/>
      <c r="JL265" s="25"/>
      <c r="JM265" s="25"/>
      <c r="JN265" s="25"/>
      <c r="JO265" s="25"/>
      <c r="JP265" s="25"/>
      <c r="JQ265" s="25"/>
      <c r="JR265" s="25"/>
      <c r="JS265" s="25"/>
      <c r="JT265" s="25"/>
      <c r="JU265" s="25"/>
      <c r="JV265" s="25"/>
      <c r="JW265" s="25"/>
      <c r="JX265" s="25"/>
      <c r="JY265" s="25"/>
      <c r="JZ265" s="25"/>
      <c r="KA265" s="25"/>
      <c r="KB265" s="25"/>
      <c r="KC265" s="25"/>
      <c r="KD265" s="25"/>
      <c r="KE265" s="25"/>
      <c r="KF265" s="25"/>
      <c r="KG265" s="25"/>
      <c r="KH265" s="25"/>
      <c r="KI265" s="25"/>
      <c r="KJ265" s="25"/>
      <c r="KK265" s="25"/>
      <c r="KL265" s="25"/>
      <c r="KM265" s="25"/>
      <c r="KN265" s="25"/>
      <c r="KO265" s="25"/>
      <c r="KP265" s="25"/>
      <c r="KQ265" s="25"/>
      <c r="KR265" s="25"/>
      <c r="KS265" s="25"/>
      <c r="KT265" s="25"/>
      <c r="KU265" s="25"/>
      <c r="KV265" s="25"/>
      <c r="KW265" s="25"/>
      <c r="KX265" s="25"/>
      <c r="KY265" s="25"/>
      <c r="KZ265" s="25"/>
      <c r="LA265" s="25"/>
      <c r="LB265" s="25"/>
      <c r="LC265" s="25"/>
      <c r="LD265" s="25"/>
      <c r="LE265" s="25"/>
      <c r="LF265" s="25"/>
      <c r="LG265" s="25"/>
      <c r="LH265" s="25"/>
      <c r="LI265" s="25"/>
      <c r="LJ265" s="25"/>
      <c r="LK265" s="25"/>
      <c r="LL265" s="25"/>
      <c r="LM265" s="25"/>
      <c r="LN265" s="25"/>
      <c r="LO265" s="25"/>
      <c r="LP265" s="25"/>
      <c r="LQ265" s="25"/>
      <c r="LR265" s="25"/>
      <c r="LS265" s="25"/>
      <c r="LT265" s="25"/>
      <c r="LU265" s="25"/>
      <c r="LV265" s="25"/>
      <c r="LW265" s="25"/>
      <c r="LX265" s="25"/>
      <c r="LY265" s="25"/>
      <c r="LZ265" s="25"/>
      <c r="MA265" s="25"/>
      <c r="MB265" s="25"/>
      <c r="MC265" s="25"/>
      <c r="MD265" s="25"/>
      <c r="ME265" s="25"/>
      <c r="MF265" s="25"/>
      <c r="MG265" s="25"/>
      <c r="MH265" s="25"/>
    </row>
    <row r="266" spans="1:346" s="26" customFormat="1">
      <c r="A266" s="21"/>
      <c r="B266" s="22"/>
      <c r="C266" s="4"/>
      <c r="D266" s="7"/>
      <c r="E266" s="7"/>
      <c r="F266" s="4"/>
      <c r="G266" s="4"/>
      <c r="H266" s="4"/>
      <c r="I266" s="77"/>
      <c r="J266" s="156"/>
      <c r="K266" s="77"/>
      <c r="L266" s="78"/>
      <c r="M266" s="78"/>
      <c r="N266" s="49"/>
      <c r="O266" s="49" t="e">
        <f>IF($E266="posto/hora extra",0,IF(OR(E266="posto/dia",E266="posto/dia líder"),VLOOKUP($C266,'Indicadores Financeiros'!$A$107:$J$119,8,FALSE)+VLOOKUP($C266,'Indicadores Financeiros'!$A$107:$J$119,9,FALSE)+VLOOKUP($C266,'Indicadores Financeiros'!$A$107:$J$119,10,FALSE),IF('Indicadores Financeiros'!$J$91=0,0,(VLOOKUP($C266,'Indicadores Financeiros'!$A$107:$J$119,9,FALSE)+VLOOKUP('Relatório Custo'!$C266,'Indicadores Financeiros'!$A$107:$J$119,10,FALSE)+('Indicadores Financeiros'!$J$87*'Relatório Custo'!$H266)))))</f>
        <v>#N/A</v>
      </c>
      <c r="P266" s="49"/>
      <c r="Q266" s="81"/>
      <c r="R266" s="81"/>
      <c r="S266" s="82"/>
      <c r="T266" s="47"/>
      <c r="U266" s="83"/>
      <c r="V266" s="24"/>
      <c r="W266" s="91"/>
      <c r="X266" s="20"/>
      <c r="Y266" s="114"/>
      <c r="Z266" s="43"/>
      <c r="AA266" s="41"/>
      <c r="AB266" s="25"/>
      <c r="AC266" s="23"/>
      <c r="AD266" s="23"/>
      <c r="AE266" s="154"/>
      <c r="AF266" s="155"/>
      <c r="AG266" s="155"/>
      <c r="AH266" s="31"/>
      <c r="AI266" s="31"/>
      <c r="AJ266" s="31"/>
      <c r="AK266" s="31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  <c r="IV266" s="25"/>
      <c r="IW266" s="25"/>
      <c r="IX266" s="25"/>
      <c r="IY266" s="25"/>
      <c r="IZ266" s="25"/>
      <c r="JA266" s="25"/>
      <c r="JB266" s="25"/>
      <c r="JC266" s="25"/>
      <c r="JD266" s="25"/>
      <c r="JE266" s="25"/>
      <c r="JF266" s="25"/>
      <c r="JG266" s="25"/>
      <c r="JH266" s="25"/>
      <c r="JI266" s="25"/>
      <c r="JJ266" s="25"/>
      <c r="JK266" s="25"/>
      <c r="JL266" s="25"/>
      <c r="JM266" s="25"/>
      <c r="JN266" s="25"/>
      <c r="JO266" s="25"/>
      <c r="JP266" s="25"/>
      <c r="JQ266" s="25"/>
      <c r="JR266" s="25"/>
      <c r="JS266" s="25"/>
      <c r="JT266" s="25"/>
      <c r="JU266" s="25"/>
      <c r="JV266" s="25"/>
      <c r="JW266" s="25"/>
      <c r="JX266" s="25"/>
      <c r="JY266" s="25"/>
      <c r="JZ266" s="25"/>
      <c r="KA266" s="25"/>
      <c r="KB266" s="25"/>
      <c r="KC266" s="25"/>
      <c r="KD266" s="25"/>
      <c r="KE266" s="25"/>
      <c r="KF266" s="25"/>
      <c r="KG266" s="25"/>
      <c r="KH266" s="25"/>
      <c r="KI266" s="25"/>
      <c r="KJ266" s="25"/>
      <c r="KK266" s="25"/>
      <c r="KL266" s="25"/>
      <c r="KM266" s="25"/>
      <c r="KN266" s="25"/>
      <c r="KO266" s="25"/>
      <c r="KP266" s="25"/>
      <c r="KQ266" s="25"/>
      <c r="KR266" s="25"/>
      <c r="KS266" s="25"/>
      <c r="KT266" s="25"/>
      <c r="KU266" s="25"/>
      <c r="KV266" s="25"/>
      <c r="KW266" s="25"/>
      <c r="KX266" s="25"/>
      <c r="KY266" s="25"/>
      <c r="KZ266" s="25"/>
      <c r="LA266" s="25"/>
      <c r="LB266" s="25"/>
      <c r="LC266" s="25"/>
      <c r="LD266" s="25"/>
      <c r="LE266" s="25"/>
      <c r="LF266" s="25"/>
      <c r="LG266" s="25"/>
      <c r="LH266" s="25"/>
      <c r="LI266" s="25"/>
      <c r="LJ266" s="25"/>
      <c r="LK266" s="25"/>
      <c r="LL266" s="25"/>
      <c r="LM266" s="25"/>
      <c r="LN266" s="25"/>
      <c r="LO266" s="25"/>
      <c r="LP266" s="25"/>
      <c r="LQ266" s="25"/>
      <c r="LR266" s="25"/>
      <c r="LS266" s="25"/>
      <c r="LT266" s="25"/>
      <c r="LU266" s="25"/>
      <c r="LV266" s="25"/>
      <c r="LW266" s="25"/>
      <c r="LX266" s="25"/>
      <c r="LY266" s="25"/>
      <c r="LZ266" s="25"/>
      <c r="MA266" s="25"/>
      <c r="MB266" s="25"/>
      <c r="MC266" s="25"/>
      <c r="MD266" s="25"/>
      <c r="ME266" s="25"/>
      <c r="MF266" s="25"/>
      <c r="MG266" s="25"/>
      <c r="MH266" s="25"/>
    </row>
    <row r="267" spans="1:346" s="26" customFormat="1">
      <c r="A267" s="21"/>
      <c r="B267" s="22"/>
      <c r="C267" s="4"/>
      <c r="D267" s="7"/>
      <c r="E267" s="7"/>
      <c r="F267" s="4"/>
      <c r="G267" s="4"/>
      <c r="H267" s="4"/>
      <c r="I267" s="77"/>
      <c r="J267" s="156"/>
      <c r="K267" s="77"/>
      <c r="L267" s="78"/>
      <c r="M267" s="78"/>
      <c r="N267" s="49"/>
      <c r="O267" s="49" t="e">
        <f>IF($E267="posto/hora extra",0,IF(OR(E267="posto/dia",E267="posto/dia líder"),VLOOKUP($C267,'Indicadores Financeiros'!$A$107:$J$119,8,FALSE)+VLOOKUP($C267,'Indicadores Financeiros'!$A$107:$J$119,9,FALSE)+VLOOKUP($C267,'Indicadores Financeiros'!$A$107:$J$119,10,FALSE),IF('Indicadores Financeiros'!$J$91=0,0,(VLOOKUP($C267,'Indicadores Financeiros'!$A$107:$J$119,9,FALSE)+VLOOKUP('Relatório Custo'!$C267,'Indicadores Financeiros'!$A$107:$J$119,10,FALSE)+('Indicadores Financeiros'!$J$87*'Relatório Custo'!$H267)))))</f>
        <v>#N/A</v>
      </c>
      <c r="P267" s="49"/>
      <c r="Q267" s="81"/>
      <c r="R267" s="81"/>
      <c r="S267" s="82"/>
      <c r="T267" s="47"/>
      <c r="U267" s="83"/>
      <c r="V267" s="24"/>
      <c r="W267" s="91"/>
      <c r="X267" s="20"/>
      <c r="Y267" s="114"/>
      <c r="Z267" s="43"/>
      <c r="AA267" s="41"/>
      <c r="AB267" s="25"/>
      <c r="AC267" s="23"/>
      <c r="AD267" s="23"/>
      <c r="AE267" s="154"/>
      <c r="AF267" s="155"/>
      <c r="AG267" s="155"/>
      <c r="AH267" s="31"/>
      <c r="AI267" s="31"/>
      <c r="AJ267" s="31"/>
      <c r="AK267" s="31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  <c r="IW267" s="25"/>
      <c r="IX267" s="25"/>
      <c r="IY267" s="25"/>
      <c r="IZ267" s="25"/>
      <c r="JA267" s="25"/>
      <c r="JB267" s="25"/>
      <c r="JC267" s="25"/>
      <c r="JD267" s="25"/>
      <c r="JE267" s="25"/>
      <c r="JF267" s="25"/>
      <c r="JG267" s="25"/>
      <c r="JH267" s="25"/>
      <c r="JI267" s="25"/>
      <c r="JJ267" s="25"/>
      <c r="JK267" s="25"/>
      <c r="JL267" s="25"/>
      <c r="JM267" s="25"/>
      <c r="JN267" s="25"/>
      <c r="JO267" s="25"/>
      <c r="JP267" s="25"/>
      <c r="JQ267" s="25"/>
      <c r="JR267" s="25"/>
      <c r="JS267" s="25"/>
      <c r="JT267" s="25"/>
      <c r="JU267" s="25"/>
      <c r="JV267" s="25"/>
      <c r="JW267" s="25"/>
      <c r="JX267" s="25"/>
      <c r="JY267" s="25"/>
      <c r="JZ267" s="25"/>
      <c r="KA267" s="25"/>
      <c r="KB267" s="25"/>
      <c r="KC267" s="25"/>
      <c r="KD267" s="25"/>
      <c r="KE267" s="25"/>
      <c r="KF267" s="25"/>
      <c r="KG267" s="25"/>
      <c r="KH267" s="25"/>
      <c r="KI267" s="25"/>
      <c r="KJ267" s="25"/>
      <c r="KK267" s="25"/>
      <c r="KL267" s="25"/>
      <c r="KM267" s="25"/>
      <c r="KN267" s="25"/>
      <c r="KO267" s="25"/>
      <c r="KP267" s="25"/>
      <c r="KQ267" s="25"/>
      <c r="KR267" s="25"/>
      <c r="KS267" s="25"/>
      <c r="KT267" s="25"/>
      <c r="KU267" s="25"/>
      <c r="KV267" s="25"/>
      <c r="KW267" s="25"/>
      <c r="KX267" s="25"/>
      <c r="KY267" s="25"/>
      <c r="KZ267" s="25"/>
      <c r="LA267" s="25"/>
      <c r="LB267" s="25"/>
      <c r="LC267" s="25"/>
      <c r="LD267" s="25"/>
      <c r="LE267" s="25"/>
      <c r="LF267" s="25"/>
      <c r="LG267" s="25"/>
      <c r="LH267" s="25"/>
      <c r="LI267" s="25"/>
      <c r="LJ267" s="25"/>
      <c r="LK267" s="25"/>
      <c r="LL267" s="25"/>
      <c r="LM267" s="25"/>
      <c r="LN267" s="25"/>
      <c r="LO267" s="25"/>
      <c r="LP267" s="25"/>
      <c r="LQ267" s="25"/>
      <c r="LR267" s="25"/>
      <c r="LS267" s="25"/>
      <c r="LT267" s="25"/>
      <c r="LU267" s="25"/>
      <c r="LV267" s="25"/>
      <c r="LW267" s="25"/>
      <c r="LX267" s="25"/>
      <c r="LY267" s="25"/>
      <c r="LZ267" s="25"/>
      <c r="MA267" s="25"/>
      <c r="MB267" s="25"/>
      <c r="MC267" s="25"/>
      <c r="MD267" s="25"/>
      <c r="ME267" s="25"/>
      <c r="MF267" s="25"/>
      <c r="MG267" s="25"/>
      <c r="MH267" s="25"/>
    </row>
    <row r="268" spans="1:346" s="26" customFormat="1">
      <c r="A268" s="21"/>
      <c r="B268" s="22"/>
      <c r="C268" s="4"/>
      <c r="D268" s="7"/>
      <c r="E268" s="7"/>
      <c r="F268" s="4"/>
      <c r="G268" s="4"/>
      <c r="H268" s="4"/>
      <c r="I268" s="77"/>
      <c r="J268" s="156"/>
      <c r="K268" s="77"/>
      <c r="L268" s="78"/>
      <c r="M268" s="78"/>
      <c r="N268" s="49"/>
      <c r="O268" s="49" t="e">
        <f>IF($E268="posto/hora extra",0,IF(OR(E268="posto/dia",E268="posto/dia líder"),VLOOKUP($C268,'Indicadores Financeiros'!$A$107:$J$119,8,FALSE)+VLOOKUP($C268,'Indicadores Financeiros'!$A$107:$J$119,9,FALSE)+VLOOKUP($C268,'Indicadores Financeiros'!$A$107:$J$119,10,FALSE),IF('Indicadores Financeiros'!$J$91=0,0,(VLOOKUP($C268,'Indicadores Financeiros'!$A$107:$J$119,9,FALSE)+VLOOKUP('Relatório Custo'!$C268,'Indicadores Financeiros'!$A$107:$J$119,10,FALSE)+('Indicadores Financeiros'!$J$87*'Relatório Custo'!$H268)))))</f>
        <v>#N/A</v>
      </c>
      <c r="P268" s="49"/>
      <c r="Q268" s="81"/>
      <c r="R268" s="81"/>
      <c r="S268" s="82"/>
      <c r="T268" s="47"/>
      <c r="U268" s="83"/>
      <c r="V268" s="24"/>
      <c r="W268" s="91"/>
      <c r="X268" s="20"/>
      <c r="Y268" s="114"/>
      <c r="Z268" s="43"/>
      <c r="AA268" s="41"/>
      <c r="AB268" s="25"/>
      <c r="AC268" s="23"/>
      <c r="AD268" s="23"/>
      <c r="AE268" s="154"/>
      <c r="AF268" s="155"/>
      <c r="AG268" s="155"/>
      <c r="AH268" s="31"/>
      <c r="AI268" s="31"/>
      <c r="AJ268" s="31"/>
      <c r="AK268" s="31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  <c r="IV268" s="25"/>
      <c r="IW268" s="25"/>
      <c r="IX268" s="25"/>
      <c r="IY268" s="25"/>
      <c r="IZ268" s="25"/>
      <c r="JA268" s="25"/>
      <c r="JB268" s="25"/>
      <c r="JC268" s="25"/>
      <c r="JD268" s="25"/>
      <c r="JE268" s="25"/>
      <c r="JF268" s="25"/>
      <c r="JG268" s="25"/>
      <c r="JH268" s="25"/>
      <c r="JI268" s="25"/>
      <c r="JJ268" s="25"/>
      <c r="JK268" s="25"/>
      <c r="JL268" s="25"/>
      <c r="JM268" s="25"/>
      <c r="JN268" s="25"/>
      <c r="JO268" s="25"/>
      <c r="JP268" s="25"/>
      <c r="JQ268" s="25"/>
      <c r="JR268" s="25"/>
      <c r="JS268" s="25"/>
      <c r="JT268" s="25"/>
      <c r="JU268" s="25"/>
      <c r="JV268" s="25"/>
      <c r="JW268" s="25"/>
      <c r="JX268" s="25"/>
      <c r="JY268" s="25"/>
      <c r="JZ268" s="25"/>
      <c r="KA268" s="25"/>
      <c r="KB268" s="25"/>
      <c r="KC268" s="25"/>
      <c r="KD268" s="25"/>
      <c r="KE268" s="25"/>
      <c r="KF268" s="25"/>
      <c r="KG268" s="25"/>
      <c r="KH268" s="25"/>
      <c r="KI268" s="25"/>
      <c r="KJ268" s="25"/>
      <c r="KK268" s="25"/>
      <c r="KL268" s="25"/>
      <c r="KM268" s="25"/>
      <c r="KN268" s="25"/>
      <c r="KO268" s="25"/>
      <c r="KP268" s="25"/>
      <c r="KQ268" s="25"/>
      <c r="KR268" s="25"/>
      <c r="KS268" s="25"/>
      <c r="KT268" s="25"/>
      <c r="KU268" s="25"/>
      <c r="KV268" s="25"/>
      <c r="KW268" s="25"/>
      <c r="KX268" s="25"/>
      <c r="KY268" s="25"/>
      <c r="KZ268" s="25"/>
      <c r="LA268" s="25"/>
      <c r="LB268" s="25"/>
      <c r="LC268" s="25"/>
      <c r="LD268" s="25"/>
      <c r="LE268" s="25"/>
      <c r="LF268" s="25"/>
      <c r="LG268" s="25"/>
      <c r="LH268" s="25"/>
      <c r="LI268" s="25"/>
      <c r="LJ268" s="25"/>
      <c r="LK268" s="25"/>
      <c r="LL268" s="25"/>
      <c r="LM268" s="25"/>
      <c r="LN268" s="25"/>
      <c r="LO268" s="25"/>
      <c r="LP268" s="25"/>
      <c r="LQ268" s="25"/>
      <c r="LR268" s="25"/>
      <c r="LS268" s="25"/>
      <c r="LT268" s="25"/>
      <c r="LU268" s="25"/>
      <c r="LV268" s="25"/>
      <c r="LW268" s="25"/>
      <c r="LX268" s="25"/>
      <c r="LY268" s="25"/>
      <c r="LZ268" s="25"/>
      <c r="MA268" s="25"/>
      <c r="MB268" s="25"/>
      <c r="MC268" s="25"/>
      <c r="MD268" s="25"/>
      <c r="ME268" s="25"/>
      <c r="MF268" s="25"/>
      <c r="MG268" s="25"/>
      <c r="MH268" s="25"/>
    </row>
    <row r="269" spans="1:346" s="26" customFormat="1">
      <c r="A269" s="21"/>
      <c r="B269" s="22"/>
      <c r="C269" s="4"/>
      <c r="D269" s="7"/>
      <c r="E269" s="7"/>
      <c r="F269" s="4"/>
      <c r="G269" s="4"/>
      <c r="H269" s="4"/>
      <c r="I269" s="77"/>
      <c r="J269" s="156"/>
      <c r="K269" s="77"/>
      <c r="L269" s="78"/>
      <c r="M269" s="78"/>
      <c r="N269" s="49"/>
      <c r="O269" s="49" t="e">
        <f>IF($E269="posto/hora extra",0,IF(OR(E269="posto/dia",E269="posto/dia líder"),VLOOKUP($C269,'Indicadores Financeiros'!$A$107:$J$119,8,FALSE)+VLOOKUP($C269,'Indicadores Financeiros'!$A$107:$J$119,9,FALSE)+VLOOKUP($C269,'Indicadores Financeiros'!$A$107:$J$119,10,FALSE),IF('Indicadores Financeiros'!$J$91=0,0,(VLOOKUP($C269,'Indicadores Financeiros'!$A$107:$J$119,9,FALSE)+VLOOKUP('Relatório Custo'!$C269,'Indicadores Financeiros'!$A$107:$J$119,10,FALSE)+('Indicadores Financeiros'!$J$87*'Relatório Custo'!$H269)))))</f>
        <v>#N/A</v>
      </c>
      <c r="P269" s="49"/>
      <c r="Q269" s="81"/>
      <c r="R269" s="81"/>
      <c r="S269" s="82"/>
      <c r="T269" s="47"/>
      <c r="U269" s="83"/>
      <c r="V269" s="24"/>
      <c r="W269" s="91"/>
      <c r="X269" s="20"/>
      <c r="Y269" s="114"/>
      <c r="Z269" s="43"/>
      <c r="AA269" s="41"/>
      <c r="AB269" s="25"/>
      <c r="AC269" s="23"/>
      <c r="AD269" s="23"/>
      <c r="AE269" s="154"/>
      <c r="AF269" s="155"/>
      <c r="AG269" s="155"/>
      <c r="AH269" s="31"/>
      <c r="AI269" s="31"/>
      <c r="AJ269" s="31"/>
      <c r="AK269" s="31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  <c r="IW269" s="25"/>
      <c r="IX269" s="25"/>
      <c r="IY269" s="25"/>
      <c r="IZ269" s="25"/>
      <c r="JA269" s="25"/>
      <c r="JB269" s="25"/>
      <c r="JC269" s="25"/>
      <c r="JD269" s="25"/>
      <c r="JE269" s="25"/>
      <c r="JF269" s="25"/>
      <c r="JG269" s="25"/>
      <c r="JH269" s="25"/>
      <c r="JI269" s="25"/>
      <c r="JJ269" s="25"/>
      <c r="JK269" s="25"/>
      <c r="JL269" s="25"/>
      <c r="JM269" s="25"/>
      <c r="JN269" s="25"/>
      <c r="JO269" s="25"/>
      <c r="JP269" s="25"/>
      <c r="JQ269" s="25"/>
      <c r="JR269" s="25"/>
      <c r="JS269" s="25"/>
      <c r="JT269" s="25"/>
      <c r="JU269" s="25"/>
      <c r="JV269" s="25"/>
      <c r="JW269" s="25"/>
      <c r="JX269" s="25"/>
      <c r="JY269" s="25"/>
      <c r="JZ269" s="25"/>
      <c r="KA269" s="25"/>
      <c r="KB269" s="25"/>
      <c r="KC269" s="25"/>
      <c r="KD269" s="25"/>
      <c r="KE269" s="25"/>
      <c r="KF269" s="25"/>
      <c r="KG269" s="25"/>
      <c r="KH269" s="25"/>
      <c r="KI269" s="25"/>
      <c r="KJ269" s="25"/>
      <c r="KK269" s="25"/>
      <c r="KL269" s="25"/>
      <c r="KM269" s="25"/>
      <c r="KN269" s="25"/>
      <c r="KO269" s="25"/>
      <c r="KP269" s="25"/>
      <c r="KQ269" s="25"/>
      <c r="KR269" s="25"/>
      <c r="KS269" s="25"/>
      <c r="KT269" s="25"/>
      <c r="KU269" s="25"/>
      <c r="KV269" s="25"/>
      <c r="KW269" s="25"/>
      <c r="KX269" s="25"/>
      <c r="KY269" s="25"/>
      <c r="KZ269" s="25"/>
      <c r="LA269" s="25"/>
      <c r="LB269" s="25"/>
      <c r="LC269" s="25"/>
      <c r="LD269" s="25"/>
      <c r="LE269" s="25"/>
      <c r="LF269" s="25"/>
      <c r="LG269" s="25"/>
      <c r="LH269" s="25"/>
      <c r="LI269" s="25"/>
      <c r="LJ269" s="25"/>
      <c r="LK269" s="25"/>
      <c r="LL269" s="25"/>
      <c r="LM269" s="25"/>
      <c r="LN269" s="25"/>
      <c r="LO269" s="25"/>
      <c r="LP269" s="25"/>
      <c r="LQ269" s="25"/>
      <c r="LR269" s="25"/>
      <c r="LS269" s="25"/>
      <c r="LT269" s="25"/>
      <c r="LU269" s="25"/>
      <c r="LV269" s="25"/>
      <c r="LW269" s="25"/>
      <c r="LX269" s="25"/>
      <c r="LY269" s="25"/>
      <c r="LZ269" s="25"/>
      <c r="MA269" s="25"/>
      <c r="MB269" s="25"/>
      <c r="MC269" s="25"/>
      <c r="MD269" s="25"/>
      <c r="ME269" s="25"/>
      <c r="MF269" s="25"/>
      <c r="MG269" s="25"/>
      <c r="MH269" s="25"/>
    </row>
    <row r="270" spans="1:346" s="26" customFormat="1">
      <c r="A270" s="21"/>
      <c r="B270" s="22"/>
      <c r="C270" s="4"/>
      <c r="D270" s="7"/>
      <c r="E270" s="7"/>
      <c r="F270" s="4"/>
      <c r="G270" s="4"/>
      <c r="H270" s="4"/>
      <c r="I270" s="77"/>
      <c r="J270" s="156"/>
      <c r="K270" s="77"/>
      <c r="L270" s="78"/>
      <c r="M270" s="78"/>
      <c r="N270" s="49"/>
      <c r="O270" s="49" t="e">
        <f>IF($E270="posto/hora extra",0,IF(OR(E270="posto/dia",E270="posto/dia líder"),VLOOKUP($C270,'Indicadores Financeiros'!$A$107:$J$119,8,FALSE)+VLOOKUP($C270,'Indicadores Financeiros'!$A$107:$J$119,9,FALSE)+VLOOKUP($C270,'Indicadores Financeiros'!$A$107:$J$119,10,FALSE),IF('Indicadores Financeiros'!$J$91=0,0,(VLOOKUP($C270,'Indicadores Financeiros'!$A$107:$J$119,9,FALSE)+VLOOKUP('Relatório Custo'!$C270,'Indicadores Financeiros'!$A$107:$J$119,10,FALSE)+('Indicadores Financeiros'!$J$87*'Relatório Custo'!$H270)))))</f>
        <v>#N/A</v>
      </c>
      <c r="P270" s="49"/>
      <c r="Q270" s="81"/>
      <c r="R270" s="81"/>
      <c r="S270" s="82"/>
      <c r="T270" s="47"/>
      <c r="U270" s="83"/>
      <c r="V270" s="24"/>
      <c r="W270" s="91"/>
      <c r="X270" s="20"/>
      <c r="Y270" s="114"/>
      <c r="Z270" s="43"/>
      <c r="AA270" s="41"/>
      <c r="AB270" s="25"/>
      <c r="AC270" s="23"/>
      <c r="AD270" s="23"/>
      <c r="AE270" s="154"/>
      <c r="AF270" s="155"/>
      <c r="AG270" s="155"/>
      <c r="AH270" s="31"/>
      <c r="AI270" s="31"/>
      <c r="AJ270" s="31"/>
      <c r="AK270" s="31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  <c r="IW270" s="25"/>
      <c r="IX270" s="25"/>
      <c r="IY270" s="25"/>
      <c r="IZ270" s="25"/>
      <c r="JA270" s="25"/>
      <c r="JB270" s="25"/>
      <c r="JC270" s="25"/>
      <c r="JD270" s="25"/>
      <c r="JE270" s="25"/>
      <c r="JF270" s="25"/>
      <c r="JG270" s="25"/>
      <c r="JH270" s="25"/>
      <c r="JI270" s="25"/>
      <c r="JJ270" s="25"/>
      <c r="JK270" s="25"/>
      <c r="JL270" s="25"/>
      <c r="JM270" s="25"/>
      <c r="JN270" s="25"/>
      <c r="JO270" s="25"/>
      <c r="JP270" s="25"/>
      <c r="JQ270" s="25"/>
      <c r="JR270" s="25"/>
      <c r="JS270" s="25"/>
      <c r="JT270" s="25"/>
      <c r="JU270" s="25"/>
      <c r="JV270" s="25"/>
      <c r="JW270" s="25"/>
      <c r="JX270" s="25"/>
      <c r="JY270" s="25"/>
      <c r="JZ270" s="25"/>
      <c r="KA270" s="25"/>
      <c r="KB270" s="25"/>
      <c r="KC270" s="25"/>
      <c r="KD270" s="25"/>
      <c r="KE270" s="25"/>
      <c r="KF270" s="25"/>
      <c r="KG270" s="25"/>
      <c r="KH270" s="25"/>
      <c r="KI270" s="25"/>
      <c r="KJ270" s="25"/>
      <c r="KK270" s="25"/>
      <c r="KL270" s="25"/>
      <c r="KM270" s="25"/>
      <c r="KN270" s="25"/>
      <c r="KO270" s="25"/>
      <c r="KP270" s="25"/>
      <c r="KQ270" s="25"/>
      <c r="KR270" s="25"/>
      <c r="KS270" s="25"/>
      <c r="KT270" s="25"/>
      <c r="KU270" s="25"/>
      <c r="KV270" s="25"/>
      <c r="KW270" s="25"/>
      <c r="KX270" s="25"/>
      <c r="KY270" s="25"/>
      <c r="KZ270" s="25"/>
      <c r="LA270" s="25"/>
      <c r="LB270" s="25"/>
      <c r="LC270" s="25"/>
      <c r="LD270" s="25"/>
      <c r="LE270" s="25"/>
      <c r="LF270" s="25"/>
      <c r="LG270" s="25"/>
      <c r="LH270" s="25"/>
      <c r="LI270" s="25"/>
      <c r="LJ270" s="25"/>
      <c r="LK270" s="25"/>
      <c r="LL270" s="25"/>
      <c r="LM270" s="25"/>
      <c r="LN270" s="25"/>
      <c r="LO270" s="25"/>
      <c r="LP270" s="25"/>
      <c r="LQ270" s="25"/>
      <c r="LR270" s="25"/>
      <c r="LS270" s="25"/>
      <c r="LT270" s="25"/>
      <c r="LU270" s="25"/>
      <c r="LV270" s="25"/>
      <c r="LW270" s="25"/>
      <c r="LX270" s="25"/>
      <c r="LY270" s="25"/>
      <c r="LZ270" s="25"/>
      <c r="MA270" s="25"/>
      <c r="MB270" s="25"/>
      <c r="MC270" s="25"/>
      <c r="MD270" s="25"/>
      <c r="ME270" s="25"/>
      <c r="MF270" s="25"/>
      <c r="MG270" s="25"/>
      <c r="MH270" s="25"/>
    </row>
    <row r="271" spans="1:346" s="26" customFormat="1">
      <c r="A271" s="21"/>
      <c r="B271" s="22"/>
      <c r="C271" s="4"/>
      <c r="D271" s="7"/>
      <c r="E271" s="7"/>
      <c r="F271" s="4"/>
      <c r="G271" s="4"/>
      <c r="H271" s="4"/>
      <c r="I271" s="77"/>
      <c r="J271" s="156"/>
      <c r="K271" s="77"/>
      <c r="L271" s="78"/>
      <c r="M271" s="78"/>
      <c r="N271" s="49"/>
      <c r="O271" s="49" t="e">
        <f>IF($E271="posto/hora extra",0,IF(OR(E271="posto/dia",E271="posto/dia líder"),VLOOKUP($C271,'Indicadores Financeiros'!$A$107:$J$119,8,FALSE)+VLOOKUP($C271,'Indicadores Financeiros'!$A$107:$J$119,9,FALSE)+VLOOKUP($C271,'Indicadores Financeiros'!$A$107:$J$119,10,FALSE),IF('Indicadores Financeiros'!$J$91=0,0,(VLOOKUP($C271,'Indicadores Financeiros'!$A$107:$J$119,9,FALSE)+VLOOKUP('Relatório Custo'!$C271,'Indicadores Financeiros'!$A$107:$J$119,10,FALSE)+('Indicadores Financeiros'!$J$87*'Relatório Custo'!$H271)))))</f>
        <v>#N/A</v>
      </c>
      <c r="P271" s="49"/>
      <c r="Q271" s="81"/>
      <c r="R271" s="81"/>
      <c r="S271" s="82"/>
      <c r="T271" s="47"/>
      <c r="U271" s="83"/>
      <c r="V271" s="24"/>
      <c r="W271" s="91"/>
      <c r="X271" s="20"/>
      <c r="Y271" s="114"/>
      <c r="Z271" s="43"/>
      <c r="AA271" s="41"/>
      <c r="AB271" s="25"/>
      <c r="AC271" s="23"/>
      <c r="AD271" s="23"/>
      <c r="AE271" s="154"/>
      <c r="AF271" s="155"/>
      <c r="AG271" s="155"/>
      <c r="AH271" s="31"/>
      <c r="AI271" s="31"/>
      <c r="AJ271" s="31"/>
      <c r="AK271" s="31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  <c r="IV271" s="25"/>
      <c r="IW271" s="25"/>
      <c r="IX271" s="25"/>
      <c r="IY271" s="25"/>
      <c r="IZ271" s="25"/>
      <c r="JA271" s="25"/>
      <c r="JB271" s="25"/>
      <c r="JC271" s="25"/>
      <c r="JD271" s="25"/>
      <c r="JE271" s="25"/>
      <c r="JF271" s="25"/>
      <c r="JG271" s="25"/>
      <c r="JH271" s="25"/>
      <c r="JI271" s="25"/>
      <c r="JJ271" s="25"/>
      <c r="JK271" s="25"/>
      <c r="JL271" s="25"/>
      <c r="JM271" s="25"/>
      <c r="JN271" s="25"/>
      <c r="JO271" s="25"/>
      <c r="JP271" s="25"/>
      <c r="JQ271" s="25"/>
      <c r="JR271" s="25"/>
      <c r="JS271" s="25"/>
      <c r="JT271" s="25"/>
      <c r="JU271" s="25"/>
      <c r="JV271" s="25"/>
      <c r="JW271" s="25"/>
      <c r="JX271" s="25"/>
      <c r="JY271" s="25"/>
      <c r="JZ271" s="25"/>
      <c r="KA271" s="25"/>
      <c r="KB271" s="25"/>
      <c r="KC271" s="25"/>
      <c r="KD271" s="25"/>
      <c r="KE271" s="25"/>
      <c r="KF271" s="25"/>
      <c r="KG271" s="25"/>
      <c r="KH271" s="25"/>
      <c r="KI271" s="25"/>
      <c r="KJ271" s="25"/>
      <c r="KK271" s="25"/>
      <c r="KL271" s="25"/>
      <c r="KM271" s="25"/>
      <c r="KN271" s="25"/>
      <c r="KO271" s="25"/>
      <c r="KP271" s="25"/>
      <c r="KQ271" s="25"/>
      <c r="KR271" s="25"/>
      <c r="KS271" s="25"/>
      <c r="KT271" s="25"/>
      <c r="KU271" s="25"/>
      <c r="KV271" s="25"/>
      <c r="KW271" s="25"/>
      <c r="KX271" s="25"/>
      <c r="KY271" s="25"/>
      <c r="KZ271" s="25"/>
      <c r="LA271" s="25"/>
      <c r="LB271" s="25"/>
      <c r="LC271" s="25"/>
      <c r="LD271" s="25"/>
      <c r="LE271" s="25"/>
      <c r="LF271" s="25"/>
      <c r="LG271" s="25"/>
      <c r="LH271" s="25"/>
      <c r="LI271" s="25"/>
      <c r="LJ271" s="25"/>
      <c r="LK271" s="25"/>
      <c r="LL271" s="25"/>
      <c r="LM271" s="25"/>
      <c r="LN271" s="25"/>
      <c r="LO271" s="25"/>
      <c r="LP271" s="25"/>
      <c r="LQ271" s="25"/>
      <c r="LR271" s="25"/>
      <c r="LS271" s="25"/>
      <c r="LT271" s="25"/>
      <c r="LU271" s="25"/>
      <c r="LV271" s="25"/>
      <c r="LW271" s="25"/>
      <c r="LX271" s="25"/>
      <c r="LY271" s="25"/>
      <c r="LZ271" s="25"/>
      <c r="MA271" s="25"/>
      <c r="MB271" s="25"/>
      <c r="MC271" s="25"/>
      <c r="MD271" s="25"/>
      <c r="ME271" s="25"/>
      <c r="MF271" s="25"/>
      <c r="MG271" s="25"/>
      <c r="MH271" s="25"/>
    </row>
    <row r="272" spans="1:346" s="26" customFormat="1">
      <c r="A272" s="21"/>
      <c r="B272" s="22"/>
      <c r="C272" s="4"/>
      <c r="D272" s="7"/>
      <c r="E272" s="7"/>
      <c r="F272" s="4"/>
      <c r="G272" s="4"/>
      <c r="H272" s="4"/>
      <c r="I272" s="77"/>
      <c r="J272" s="156"/>
      <c r="K272" s="77"/>
      <c r="L272" s="78"/>
      <c r="M272" s="78"/>
      <c r="N272" s="49"/>
      <c r="O272" s="49" t="e">
        <f>IF($E272="posto/hora extra",0,IF(OR(E272="posto/dia",E272="posto/dia líder"),VLOOKUP($C272,'Indicadores Financeiros'!$A$107:$J$119,8,FALSE)+VLOOKUP($C272,'Indicadores Financeiros'!$A$107:$J$119,9,FALSE)+VLOOKUP($C272,'Indicadores Financeiros'!$A$107:$J$119,10,FALSE),IF('Indicadores Financeiros'!$J$91=0,0,(VLOOKUP($C272,'Indicadores Financeiros'!$A$107:$J$119,9,FALSE)+VLOOKUP('Relatório Custo'!$C272,'Indicadores Financeiros'!$A$107:$J$119,10,FALSE)+('Indicadores Financeiros'!$J$87*'Relatório Custo'!$H272)))))</f>
        <v>#N/A</v>
      </c>
      <c r="P272" s="49"/>
      <c r="Q272" s="81"/>
      <c r="R272" s="81"/>
      <c r="S272" s="82"/>
      <c r="T272" s="47"/>
      <c r="U272" s="83"/>
      <c r="V272" s="24"/>
      <c r="W272" s="91"/>
      <c r="X272" s="20"/>
      <c r="Y272" s="114"/>
      <c r="Z272" s="43"/>
      <c r="AA272" s="41"/>
      <c r="AB272" s="25"/>
      <c r="AC272" s="23"/>
      <c r="AD272" s="23"/>
      <c r="AE272" s="154"/>
      <c r="AF272" s="155"/>
      <c r="AG272" s="155"/>
      <c r="AH272" s="31"/>
      <c r="AI272" s="31"/>
      <c r="AJ272" s="31"/>
      <c r="AK272" s="31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  <c r="IV272" s="25"/>
      <c r="IW272" s="25"/>
      <c r="IX272" s="25"/>
      <c r="IY272" s="25"/>
      <c r="IZ272" s="25"/>
      <c r="JA272" s="25"/>
      <c r="JB272" s="25"/>
      <c r="JC272" s="25"/>
      <c r="JD272" s="25"/>
      <c r="JE272" s="25"/>
      <c r="JF272" s="25"/>
      <c r="JG272" s="25"/>
      <c r="JH272" s="25"/>
      <c r="JI272" s="25"/>
      <c r="JJ272" s="25"/>
      <c r="JK272" s="25"/>
      <c r="JL272" s="25"/>
      <c r="JM272" s="25"/>
      <c r="JN272" s="25"/>
      <c r="JO272" s="25"/>
      <c r="JP272" s="25"/>
      <c r="JQ272" s="25"/>
      <c r="JR272" s="25"/>
      <c r="JS272" s="25"/>
      <c r="JT272" s="25"/>
      <c r="JU272" s="25"/>
      <c r="JV272" s="25"/>
      <c r="JW272" s="25"/>
      <c r="JX272" s="25"/>
      <c r="JY272" s="25"/>
      <c r="JZ272" s="25"/>
      <c r="KA272" s="25"/>
      <c r="KB272" s="25"/>
      <c r="KC272" s="25"/>
      <c r="KD272" s="25"/>
      <c r="KE272" s="25"/>
      <c r="KF272" s="25"/>
      <c r="KG272" s="25"/>
      <c r="KH272" s="25"/>
      <c r="KI272" s="25"/>
      <c r="KJ272" s="25"/>
      <c r="KK272" s="25"/>
      <c r="KL272" s="25"/>
      <c r="KM272" s="25"/>
      <c r="KN272" s="25"/>
      <c r="KO272" s="25"/>
      <c r="KP272" s="25"/>
      <c r="KQ272" s="25"/>
      <c r="KR272" s="25"/>
      <c r="KS272" s="25"/>
      <c r="KT272" s="25"/>
      <c r="KU272" s="25"/>
      <c r="KV272" s="25"/>
      <c r="KW272" s="25"/>
      <c r="KX272" s="25"/>
      <c r="KY272" s="25"/>
      <c r="KZ272" s="25"/>
      <c r="LA272" s="25"/>
      <c r="LB272" s="25"/>
      <c r="LC272" s="25"/>
      <c r="LD272" s="25"/>
      <c r="LE272" s="25"/>
      <c r="LF272" s="25"/>
      <c r="LG272" s="25"/>
      <c r="LH272" s="25"/>
      <c r="LI272" s="25"/>
      <c r="LJ272" s="25"/>
      <c r="LK272" s="25"/>
      <c r="LL272" s="25"/>
      <c r="LM272" s="25"/>
      <c r="LN272" s="25"/>
      <c r="LO272" s="25"/>
      <c r="LP272" s="25"/>
      <c r="LQ272" s="25"/>
      <c r="LR272" s="25"/>
      <c r="LS272" s="25"/>
      <c r="LT272" s="25"/>
      <c r="LU272" s="25"/>
      <c r="LV272" s="25"/>
      <c r="LW272" s="25"/>
      <c r="LX272" s="25"/>
      <c r="LY272" s="25"/>
      <c r="LZ272" s="25"/>
      <c r="MA272" s="25"/>
      <c r="MB272" s="25"/>
      <c r="MC272" s="25"/>
      <c r="MD272" s="25"/>
      <c r="ME272" s="25"/>
      <c r="MF272" s="25"/>
      <c r="MG272" s="25"/>
      <c r="MH272" s="25"/>
    </row>
    <row r="273" spans="1:346" s="26" customFormat="1">
      <c r="A273" s="21"/>
      <c r="B273" s="22"/>
      <c r="C273" s="4"/>
      <c r="D273" s="7"/>
      <c r="E273" s="7"/>
      <c r="F273" s="4"/>
      <c r="G273" s="4"/>
      <c r="H273" s="4"/>
      <c r="I273" s="77"/>
      <c r="J273" s="156"/>
      <c r="K273" s="77"/>
      <c r="L273" s="78"/>
      <c r="M273" s="78"/>
      <c r="N273" s="49"/>
      <c r="O273" s="49" t="e">
        <f>IF($E273="posto/hora extra",0,IF(OR(E273="posto/dia",E273="posto/dia líder"),VLOOKUP($C273,'Indicadores Financeiros'!$A$107:$J$119,8,FALSE)+VLOOKUP($C273,'Indicadores Financeiros'!$A$107:$J$119,9,FALSE)+VLOOKUP($C273,'Indicadores Financeiros'!$A$107:$J$119,10,FALSE),IF('Indicadores Financeiros'!$J$91=0,0,(VLOOKUP($C273,'Indicadores Financeiros'!$A$107:$J$119,9,FALSE)+VLOOKUP('Relatório Custo'!$C273,'Indicadores Financeiros'!$A$107:$J$119,10,FALSE)+('Indicadores Financeiros'!$J$87*'Relatório Custo'!$H273)))))</f>
        <v>#N/A</v>
      </c>
      <c r="P273" s="49"/>
      <c r="Q273" s="81"/>
      <c r="R273" s="81"/>
      <c r="S273" s="82"/>
      <c r="T273" s="47"/>
      <c r="U273" s="83"/>
      <c r="V273" s="24"/>
      <c r="W273" s="91"/>
      <c r="X273" s="20"/>
      <c r="Y273" s="114"/>
      <c r="Z273" s="43"/>
      <c r="AA273" s="41"/>
      <c r="AB273" s="25"/>
      <c r="AC273" s="23"/>
      <c r="AD273" s="23"/>
      <c r="AE273" s="154"/>
      <c r="AF273" s="155"/>
      <c r="AG273" s="155"/>
      <c r="AH273" s="31"/>
      <c r="AI273" s="31"/>
      <c r="AJ273" s="31"/>
      <c r="AK273" s="31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  <c r="IV273" s="25"/>
      <c r="IW273" s="25"/>
      <c r="IX273" s="25"/>
      <c r="IY273" s="25"/>
      <c r="IZ273" s="25"/>
      <c r="JA273" s="25"/>
      <c r="JB273" s="25"/>
      <c r="JC273" s="25"/>
      <c r="JD273" s="25"/>
      <c r="JE273" s="25"/>
      <c r="JF273" s="25"/>
      <c r="JG273" s="25"/>
      <c r="JH273" s="25"/>
      <c r="JI273" s="25"/>
      <c r="JJ273" s="25"/>
      <c r="JK273" s="25"/>
      <c r="JL273" s="25"/>
      <c r="JM273" s="25"/>
      <c r="JN273" s="25"/>
      <c r="JO273" s="25"/>
      <c r="JP273" s="25"/>
      <c r="JQ273" s="25"/>
      <c r="JR273" s="25"/>
      <c r="JS273" s="25"/>
      <c r="JT273" s="25"/>
      <c r="JU273" s="25"/>
      <c r="JV273" s="25"/>
      <c r="JW273" s="25"/>
      <c r="JX273" s="25"/>
      <c r="JY273" s="25"/>
      <c r="JZ273" s="25"/>
      <c r="KA273" s="25"/>
      <c r="KB273" s="25"/>
      <c r="KC273" s="25"/>
      <c r="KD273" s="25"/>
      <c r="KE273" s="25"/>
      <c r="KF273" s="25"/>
      <c r="KG273" s="25"/>
      <c r="KH273" s="25"/>
      <c r="KI273" s="25"/>
      <c r="KJ273" s="25"/>
      <c r="KK273" s="25"/>
      <c r="KL273" s="25"/>
      <c r="KM273" s="25"/>
      <c r="KN273" s="25"/>
      <c r="KO273" s="25"/>
      <c r="KP273" s="25"/>
      <c r="KQ273" s="25"/>
      <c r="KR273" s="25"/>
      <c r="KS273" s="25"/>
      <c r="KT273" s="25"/>
      <c r="KU273" s="25"/>
      <c r="KV273" s="25"/>
      <c r="KW273" s="25"/>
      <c r="KX273" s="25"/>
      <c r="KY273" s="25"/>
      <c r="KZ273" s="25"/>
      <c r="LA273" s="25"/>
      <c r="LB273" s="25"/>
      <c r="LC273" s="25"/>
      <c r="LD273" s="25"/>
      <c r="LE273" s="25"/>
      <c r="LF273" s="25"/>
      <c r="LG273" s="25"/>
      <c r="LH273" s="25"/>
      <c r="LI273" s="25"/>
      <c r="LJ273" s="25"/>
      <c r="LK273" s="25"/>
      <c r="LL273" s="25"/>
      <c r="LM273" s="25"/>
      <c r="LN273" s="25"/>
      <c r="LO273" s="25"/>
      <c r="LP273" s="25"/>
      <c r="LQ273" s="25"/>
      <c r="LR273" s="25"/>
      <c r="LS273" s="25"/>
      <c r="LT273" s="25"/>
      <c r="LU273" s="25"/>
      <c r="LV273" s="25"/>
      <c r="LW273" s="25"/>
      <c r="LX273" s="25"/>
      <c r="LY273" s="25"/>
      <c r="LZ273" s="25"/>
      <c r="MA273" s="25"/>
      <c r="MB273" s="25"/>
      <c r="MC273" s="25"/>
      <c r="MD273" s="25"/>
      <c r="ME273" s="25"/>
      <c r="MF273" s="25"/>
      <c r="MG273" s="25"/>
      <c r="MH273" s="25"/>
    </row>
    <row r="274" spans="1:346" s="26" customFormat="1">
      <c r="A274" s="21"/>
      <c r="B274" s="22"/>
      <c r="C274" s="4"/>
      <c r="D274" s="7"/>
      <c r="E274" s="7"/>
      <c r="F274" s="4"/>
      <c r="G274" s="4"/>
      <c r="H274" s="4"/>
      <c r="I274" s="77"/>
      <c r="J274" s="156"/>
      <c r="K274" s="77"/>
      <c r="L274" s="78"/>
      <c r="M274" s="78"/>
      <c r="N274" s="49"/>
      <c r="O274" s="49" t="e">
        <f>IF($E274="posto/hora extra",0,IF(OR(E274="posto/dia",E274="posto/dia líder"),VLOOKUP($C274,'Indicadores Financeiros'!$A$107:$J$119,8,FALSE)+VLOOKUP($C274,'Indicadores Financeiros'!$A$107:$J$119,9,FALSE)+VLOOKUP($C274,'Indicadores Financeiros'!$A$107:$J$119,10,FALSE),IF('Indicadores Financeiros'!$J$91=0,0,(VLOOKUP($C274,'Indicadores Financeiros'!$A$107:$J$119,9,FALSE)+VLOOKUP('Relatório Custo'!$C274,'Indicadores Financeiros'!$A$107:$J$119,10,FALSE)+('Indicadores Financeiros'!$J$87*'Relatório Custo'!$H274)))))</f>
        <v>#N/A</v>
      </c>
      <c r="P274" s="49"/>
      <c r="Q274" s="81"/>
      <c r="R274" s="81"/>
      <c r="S274" s="82"/>
      <c r="T274" s="47"/>
      <c r="U274" s="83"/>
      <c r="V274" s="24"/>
      <c r="W274" s="91"/>
      <c r="X274" s="20"/>
      <c r="Y274" s="114"/>
      <c r="Z274" s="43"/>
      <c r="AA274" s="41"/>
      <c r="AB274" s="25"/>
      <c r="AC274" s="23"/>
      <c r="AD274" s="23"/>
      <c r="AE274" s="154"/>
      <c r="AF274" s="155"/>
      <c r="AG274" s="155"/>
      <c r="AH274" s="31"/>
      <c r="AI274" s="31"/>
      <c r="AJ274" s="31"/>
      <c r="AK274" s="31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  <c r="IV274" s="25"/>
      <c r="IW274" s="25"/>
      <c r="IX274" s="25"/>
      <c r="IY274" s="25"/>
      <c r="IZ274" s="25"/>
      <c r="JA274" s="25"/>
      <c r="JB274" s="25"/>
      <c r="JC274" s="25"/>
      <c r="JD274" s="25"/>
      <c r="JE274" s="25"/>
      <c r="JF274" s="25"/>
      <c r="JG274" s="25"/>
      <c r="JH274" s="25"/>
      <c r="JI274" s="25"/>
      <c r="JJ274" s="25"/>
      <c r="JK274" s="25"/>
      <c r="JL274" s="25"/>
      <c r="JM274" s="25"/>
      <c r="JN274" s="25"/>
      <c r="JO274" s="25"/>
      <c r="JP274" s="25"/>
      <c r="JQ274" s="25"/>
      <c r="JR274" s="25"/>
      <c r="JS274" s="25"/>
      <c r="JT274" s="25"/>
      <c r="JU274" s="25"/>
      <c r="JV274" s="25"/>
      <c r="JW274" s="25"/>
      <c r="JX274" s="25"/>
      <c r="JY274" s="25"/>
      <c r="JZ274" s="25"/>
      <c r="KA274" s="25"/>
      <c r="KB274" s="25"/>
      <c r="KC274" s="25"/>
      <c r="KD274" s="25"/>
      <c r="KE274" s="25"/>
      <c r="KF274" s="25"/>
      <c r="KG274" s="25"/>
      <c r="KH274" s="25"/>
      <c r="KI274" s="25"/>
      <c r="KJ274" s="25"/>
      <c r="KK274" s="25"/>
      <c r="KL274" s="25"/>
      <c r="KM274" s="25"/>
      <c r="KN274" s="25"/>
      <c r="KO274" s="25"/>
      <c r="KP274" s="25"/>
      <c r="KQ274" s="25"/>
      <c r="KR274" s="25"/>
      <c r="KS274" s="25"/>
      <c r="KT274" s="25"/>
      <c r="KU274" s="25"/>
      <c r="KV274" s="25"/>
      <c r="KW274" s="25"/>
      <c r="KX274" s="25"/>
      <c r="KY274" s="25"/>
      <c r="KZ274" s="25"/>
      <c r="LA274" s="25"/>
      <c r="LB274" s="25"/>
      <c r="LC274" s="25"/>
      <c r="LD274" s="25"/>
      <c r="LE274" s="25"/>
      <c r="LF274" s="25"/>
      <c r="LG274" s="25"/>
      <c r="LH274" s="25"/>
      <c r="LI274" s="25"/>
      <c r="LJ274" s="25"/>
      <c r="LK274" s="25"/>
      <c r="LL274" s="25"/>
      <c r="LM274" s="25"/>
      <c r="LN274" s="25"/>
      <c r="LO274" s="25"/>
      <c r="LP274" s="25"/>
      <c r="LQ274" s="25"/>
      <c r="LR274" s="25"/>
      <c r="LS274" s="25"/>
      <c r="LT274" s="25"/>
      <c r="LU274" s="25"/>
      <c r="LV274" s="25"/>
      <c r="LW274" s="25"/>
      <c r="LX274" s="25"/>
      <c r="LY274" s="25"/>
      <c r="LZ274" s="25"/>
      <c r="MA274" s="25"/>
      <c r="MB274" s="25"/>
      <c r="MC274" s="25"/>
      <c r="MD274" s="25"/>
      <c r="ME274" s="25"/>
      <c r="MF274" s="25"/>
      <c r="MG274" s="25"/>
      <c r="MH274" s="25"/>
    </row>
    <row r="275" spans="1:346" s="26" customFormat="1">
      <c r="A275" s="21"/>
      <c r="B275" s="22"/>
      <c r="C275" s="4"/>
      <c r="D275" s="7"/>
      <c r="E275" s="7"/>
      <c r="F275" s="4"/>
      <c r="G275" s="4"/>
      <c r="H275" s="4"/>
      <c r="I275" s="77"/>
      <c r="J275" s="156"/>
      <c r="K275" s="77"/>
      <c r="L275" s="78"/>
      <c r="M275" s="78"/>
      <c r="N275" s="49"/>
      <c r="O275" s="49" t="e">
        <f>IF($E275="posto/hora extra",0,IF(OR(E275="posto/dia",E275="posto/dia líder"),VLOOKUP($C275,'Indicadores Financeiros'!$A$107:$J$119,8,FALSE)+VLOOKUP($C275,'Indicadores Financeiros'!$A$107:$J$119,9,FALSE)+VLOOKUP($C275,'Indicadores Financeiros'!$A$107:$J$119,10,FALSE),IF('Indicadores Financeiros'!$J$91=0,0,(VLOOKUP($C275,'Indicadores Financeiros'!$A$107:$J$119,9,FALSE)+VLOOKUP('Relatório Custo'!$C275,'Indicadores Financeiros'!$A$107:$J$119,10,FALSE)+('Indicadores Financeiros'!$J$87*'Relatório Custo'!$H275)))))</f>
        <v>#N/A</v>
      </c>
      <c r="P275" s="49"/>
      <c r="Q275" s="81"/>
      <c r="R275" s="81"/>
      <c r="S275" s="82"/>
      <c r="T275" s="47"/>
      <c r="U275" s="83"/>
      <c r="V275" s="24"/>
      <c r="W275" s="91"/>
      <c r="X275" s="20"/>
      <c r="Y275" s="114"/>
      <c r="Z275" s="43"/>
      <c r="AA275" s="41"/>
      <c r="AB275" s="25"/>
      <c r="AC275" s="23"/>
      <c r="AD275" s="23"/>
      <c r="AE275" s="154"/>
      <c r="AF275" s="155"/>
      <c r="AG275" s="155"/>
      <c r="AH275" s="31"/>
      <c r="AI275" s="31"/>
      <c r="AJ275" s="31"/>
      <c r="AK275" s="31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  <c r="IW275" s="25"/>
      <c r="IX275" s="25"/>
      <c r="IY275" s="25"/>
      <c r="IZ275" s="25"/>
      <c r="JA275" s="25"/>
      <c r="JB275" s="25"/>
      <c r="JC275" s="25"/>
      <c r="JD275" s="25"/>
      <c r="JE275" s="25"/>
      <c r="JF275" s="25"/>
      <c r="JG275" s="25"/>
      <c r="JH275" s="25"/>
      <c r="JI275" s="25"/>
      <c r="JJ275" s="25"/>
      <c r="JK275" s="25"/>
      <c r="JL275" s="25"/>
      <c r="JM275" s="25"/>
      <c r="JN275" s="25"/>
      <c r="JO275" s="25"/>
      <c r="JP275" s="25"/>
      <c r="JQ275" s="25"/>
      <c r="JR275" s="25"/>
      <c r="JS275" s="25"/>
      <c r="JT275" s="25"/>
      <c r="JU275" s="25"/>
      <c r="JV275" s="25"/>
      <c r="JW275" s="25"/>
      <c r="JX275" s="25"/>
      <c r="JY275" s="25"/>
      <c r="JZ275" s="25"/>
      <c r="KA275" s="25"/>
      <c r="KB275" s="25"/>
      <c r="KC275" s="25"/>
      <c r="KD275" s="25"/>
      <c r="KE275" s="25"/>
      <c r="KF275" s="25"/>
      <c r="KG275" s="25"/>
      <c r="KH275" s="25"/>
      <c r="KI275" s="25"/>
      <c r="KJ275" s="25"/>
      <c r="KK275" s="25"/>
      <c r="KL275" s="25"/>
      <c r="KM275" s="25"/>
      <c r="KN275" s="25"/>
      <c r="KO275" s="25"/>
      <c r="KP275" s="25"/>
      <c r="KQ275" s="25"/>
      <c r="KR275" s="25"/>
      <c r="KS275" s="25"/>
      <c r="KT275" s="25"/>
      <c r="KU275" s="25"/>
      <c r="KV275" s="25"/>
      <c r="KW275" s="25"/>
      <c r="KX275" s="25"/>
      <c r="KY275" s="25"/>
      <c r="KZ275" s="25"/>
      <c r="LA275" s="25"/>
      <c r="LB275" s="25"/>
      <c r="LC275" s="25"/>
      <c r="LD275" s="25"/>
      <c r="LE275" s="25"/>
      <c r="LF275" s="25"/>
      <c r="LG275" s="25"/>
      <c r="LH275" s="25"/>
      <c r="LI275" s="25"/>
      <c r="LJ275" s="25"/>
      <c r="LK275" s="25"/>
      <c r="LL275" s="25"/>
      <c r="LM275" s="25"/>
      <c r="LN275" s="25"/>
      <c r="LO275" s="25"/>
      <c r="LP275" s="25"/>
      <c r="LQ275" s="25"/>
      <c r="LR275" s="25"/>
      <c r="LS275" s="25"/>
      <c r="LT275" s="25"/>
      <c r="LU275" s="25"/>
      <c r="LV275" s="25"/>
      <c r="LW275" s="25"/>
      <c r="LX275" s="25"/>
      <c r="LY275" s="25"/>
      <c r="LZ275" s="25"/>
      <c r="MA275" s="25"/>
      <c r="MB275" s="25"/>
      <c r="MC275" s="25"/>
      <c r="MD275" s="25"/>
      <c r="ME275" s="25"/>
      <c r="MF275" s="25"/>
      <c r="MG275" s="25"/>
      <c r="MH275" s="25"/>
    </row>
    <row r="276" spans="1:346" s="26" customFormat="1">
      <c r="A276" s="21"/>
      <c r="B276" s="22"/>
      <c r="C276" s="4"/>
      <c r="D276" s="7"/>
      <c r="E276" s="7"/>
      <c r="F276" s="4"/>
      <c r="G276" s="4"/>
      <c r="H276" s="4"/>
      <c r="I276" s="77"/>
      <c r="J276" s="156"/>
      <c r="K276" s="77"/>
      <c r="L276" s="78"/>
      <c r="M276" s="78"/>
      <c r="N276" s="49"/>
      <c r="O276" s="49" t="e">
        <f>IF($E276="posto/hora extra",0,IF(OR(E276="posto/dia",E276="posto/dia líder"),VLOOKUP($C276,'Indicadores Financeiros'!$A$107:$J$119,8,FALSE)+VLOOKUP($C276,'Indicadores Financeiros'!$A$107:$J$119,9,FALSE)+VLOOKUP($C276,'Indicadores Financeiros'!$A$107:$J$119,10,FALSE),IF('Indicadores Financeiros'!$J$91=0,0,(VLOOKUP($C276,'Indicadores Financeiros'!$A$107:$J$119,9,FALSE)+VLOOKUP('Relatório Custo'!$C276,'Indicadores Financeiros'!$A$107:$J$119,10,FALSE)+('Indicadores Financeiros'!$J$87*'Relatório Custo'!$H276)))))</f>
        <v>#N/A</v>
      </c>
      <c r="P276" s="49"/>
      <c r="Q276" s="81"/>
      <c r="R276" s="81"/>
      <c r="S276" s="82"/>
      <c r="T276" s="47"/>
      <c r="U276" s="83"/>
      <c r="V276" s="24"/>
      <c r="W276" s="91"/>
      <c r="X276" s="20"/>
      <c r="Y276" s="114"/>
      <c r="Z276" s="43"/>
      <c r="AA276" s="41"/>
      <c r="AB276" s="25"/>
      <c r="AC276" s="23"/>
      <c r="AD276" s="23"/>
      <c r="AE276" s="154"/>
      <c r="AF276" s="155"/>
      <c r="AG276" s="155"/>
      <c r="AH276" s="31"/>
      <c r="AI276" s="31"/>
      <c r="AJ276" s="31"/>
      <c r="AK276" s="31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  <c r="IW276" s="25"/>
      <c r="IX276" s="25"/>
      <c r="IY276" s="25"/>
      <c r="IZ276" s="25"/>
      <c r="JA276" s="25"/>
      <c r="JB276" s="25"/>
      <c r="JC276" s="25"/>
      <c r="JD276" s="25"/>
      <c r="JE276" s="25"/>
      <c r="JF276" s="25"/>
      <c r="JG276" s="25"/>
      <c r="JH276" s="25"/>
      <c r="JI276" s="25"/>
      <c r="JJ276" s="25"/>
      <c r="JK276" s="25"/>
      <c r="JL276" s="25"/>
      <c r="JM276" s="25"/>
      <c r="JN276" s="25"/>
      <c r="JO276" s="25"/>
      <c r="JP276" s="25"/>
      <c r="JQ276" s="25"/>
      <c r="JR276" s="25"/>
      <c r="JS276" s="25"/>
      <c r="JT276" s="25"/>
      <c r="JU276" s="25"/>
      <c r="JV276" s="25"/>
      <c r="JW276" s="25"/>
      <c r="JX276" s="25"/>
      <c r="JY276" s="25"/>
      <c r="JZ276" s="25"/>
      <c r="KA276" s="25"/>
      <c r="KB276" s="25"/>
      <c r="KC276" s="25"/>
      <c r="KD276" s="25"/>
      <c r="KE276" s="25"/>
      <c r="KF276" s="25"/>
      <c r="KG276" s="25"/>
      <c r="KH276" s="25"/>
      <c r="KI276" s="25"/>
      <c r="KJ276" s="25"/>
      <c r="KK276" s="25"/>
      <c r="KL276" s="25"/>
      <c r="KM276" s="25"/>
      <c r="KN276" s="25"/>
      <c r="KO276" s="25"/>
      <c r="KP276" s="25"/>
      <c r="KQ276" s="25"/>
      <c r="KR276" s="25"/>
      <c r="KS276" s="25"/>
      <c r="KT276" s="25"/>
      <c r="KU276" s="25"/>
      <c r="KV276" s="25"/>
      <c r="KW276" s="25"/>
      <c r="KX276" s="25"/>
      <c r="KY276" s="25"/>
      <c r="KZ276" s="25"/>
      <c r="LA276" s="25"/>
      <c r="LB276" s="25"/>
      <c r="LC276" s="25"/>
      <c r="LD276" s="25"/>
      <c r="LE276" s="25"/>
      <c r="LF276" s="25"/>
      <c r="LG276" s="25"/>
      <c r="LH276" s="25"/>
      <c r="LI276" s="25"/>
      <c r="LJ276" s="25"/>
      <c r="LK276" s="25"/>
      <c r="LL276" s="25"/>
      <c r="LM276" s="25"/>
      <c r="LN276" s="25"/>
      <c r="LO276" s="25"/>
      <c r="LP276" s="25"/>
      <c r="LQ276" s="25"/>
      <c r="LR276" s="25"/>
      <c r="LS276" s="25"/>
      <c r="LT276" s="25"/>
      <c r="LU276" s="25"/>
      <c r="LV276" s="25"/>
      <c r="LW276" s="25"/>
      <c r="LX276" s="25"/>
      <c r="LY276" s="25"/>
      <c r="LZ276" s="25"/>
      <c r="MA276" s="25"/>
      <c r="MB276" s="25"/>
      <c r="MC276" s="25"/>
      <c r="MD276" s="25"/>
      <c r="ME276" s="25"/>
      <c r="MF276" s="25"/>
      <c r="MG276" s="25"/>
      <c r="MH276" s="25"/>
    </row>
    <row r="277" spans="1:346" s="26" customFormat="1">
      <c r="A277" s="21"/>
      <c r="B277" s="22"/>
      <c r="C277" s="4"/>
      <c r="D277" s="7"/>
      <c r="E277" s="7"/>
      <c r="F277" s="4"/>
      <c r="G277" s="4"/>
      <c r="H277" s="4"/>
      <c r="I277" s="77"/>
      <c r="J277" s="156"/>
      <c r="K277" s="77"/>
      <c r="L277" s="78"/>
      <c r="M277" s="78"/>
      <c r="N277" s="49"/>
      <c r="O277" s="49" t="e">
        <f>IF($E277="posto/hora extra",0,IF(OR(E277="posto/dia",E277="posto/dia líder"),VLOOKUP($C277,'Indicadores Financeiros'!$A$107:$J$119,8,FALSE)+VLOOKUP($C277,'Indicadores Financeiros'!$A$107:$J$119,9,FALSE)+VLOOKUP($C277,'Indicadores Financeiros'!$A$107:$J$119,10,FALSE),IF('Indicadores Financeiros'!$J$91=0,0,(VLOOKUP($C277,'Indicadores Financeiros'!$A$107:$J$119,9,FALSE)+VLOOKUP('Relatório Custo'!$C277,'Indicadores Financeiros'!$A$107:$J$119,10,FALSE)+('Indicadores Financeiros'!$J$87*'Relatório Custo'!$H277)))))</f>
        <v>#N/A</v>
      </c>
      <c r="P277" s="49"/>
      <c r="Q277" s="81"/>
      <c r="R277" s="81"/>
      <c r="S277" s="82"/>
      <c r="T277" s="47"/>
      <c r="U277" s="83"/>
      <c r="V277" s="24"/>
      <c r="W277" s="91"/>
      <c r="X277" s="20"/>
      <c r="Y277" s="114"/>
      <c r="Z277" s="43"/>
      <c r="AA277" s="41"/>
      <c r="AB277" s="25"/>
      <c r="AC277" s="23"/>
      <c r="AD277" s="23"/>
      <c r="AE277" s="154"/>
      <c r="AF277" s="155"/>
      <c r="AG277" s="155"/>
      <c r="AH277" s="31"/>
      <c r="AI277" s="31"/>
      <c r="AJ277" s="31"/>
      <c r="AK277" s="31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  <c r="IW277" s="25"/>
      <c r="IX277" s="25"/>
      <c r="IY277" s="25"/>
      <c r="IZ277" s="25"/>
      <c r="JA277" s="25"/>
      <c r="JB277" s="25"/>
      <c r="JC277" s="25"/>
      <c r="JD277" s="25"/>
      <c r="JE277" s="25"/>
      <c r="JF277" s="25"/>
      <c r="JG277" s="25"/>
      <c r="JH277" s="25"/>
      <c r="JI277" s="25"/>
      <c r="JJ277" s="25"/>
      <c r="JK277" s="25"/>
      <c r="JL277" s="25"/>
      <c r="JM277" s="25"/>
      <c r="JN277" s="25"/>
      <c r="JO277" s="25"/>
      <c r="JP277" s="25"/>
      <c r="JQ277" s="25"/>
      <c r="JR277" s="25"/>
      <c r="JS277" s="25"/>
      <c r="JT277" s="25"/>
      <c r="JU277" s="25"/>
      <c r="JV277" s="25"/>
      <c r="JW277" s="25"/>
      <c r="JX277" s="25"/>
      <c r="JY277" s="25"/>
      <c r="JZ277" s="25"/>
      <c r="KA277" s="25"/>
      <c r="KB277" s="25"/>
      <c r="KC277" s="25"/>
      <c r="KD277" s="25"/>
      <c r="KE277" s="25"/>
      <c r="KF277" s="25"/>
      <c r="KG277" s="25"/>
      <c r="KH277" s="25"/>
      <c r="KI277" s="25"/>
      <c r="KJ277" s="25"/>
      <c r="KK277" s="25"/>
      <c r="KL277" s="25"/>
      <c r="KM277" s="25"/>
      <c r="KN277" s="25"/>
      <c r="KO277" s="25"/>
      <c r="KP277" s="25"/>
      <c r="KQ277" s="25"/>
      <c r="KR277" s="25"/>
      <c r="KS277" s="25"/>
      <c r="KT277" s="25"/>
      <c r="KU277" s="25"/>
      <c r="KV277" s="25"/>
      <c r="KW277" s="25"/>
      <c r="KX277" s="25"/>
      <c r="KY277" s="25"/>
      <c r="KZ277" s="25"/>
      <c r="LA277" s="25"/>
      <c r="LB277" s="25"/>
      <c r="LC277" s="25"/>
      <c r="LD277" s="25"/>
      <c r="LE277" s="25"/>
      <c r="LF277" s="25"/>
      <c r="LG277" s="25"/>
      <c r="LH277" s="25"/>
      <c r="LI277" s="25"/>
      <c r="LJ277" s="25"/>
      <c r="LK277" s="25"/>
      <c r="LL277" s="25"/>
      <c r="LM277" s="25"/>
      <c r="LN277" s="25"/>
      <c r="LO277" s="25"/>
      <c r="LP277" s="25"/>
      <c r="LQ277" s="25"/>
      <c r="LR277" s="25"/>
      <c r="LS277" s="25"/>
      <c r="LT277" s="25"/>
      <c r="LU277" s="25"/>
      <c r="LV277" s="25"/>
      <c r="LW277" s="25"/>
      <c r="LX277" s="25"/>
      <c r="LY277" s="25"/>
      <c r="LZ277" s="25"/>
      <c r="MA277" s="25"/>
      <c r="MB277" s="25"/>
      <c r="MC277" s="25"/>
      <c r="MD277" s="25"/>
      <c r="ME277" s="25"/>
      <c r="MF277" s="25"/>
      <c r="MG277" s="25"/>
      <c r="MH277" s="25"/>
    </row>
    <row r="278" spans="1:346" s="26" customFormat="1">
      <c r="A278" s="21"/>
      <c r="B278" s="22"/>
      <c r="C278" s="4"/>
      <c r="D278" s="7"/>
      <c r="E278" s="7"/>
      <c r="F278" s="4"/>
      <c r="G278" s="4"/>
      <c r="H278" s="4"/>
      <c r="I278" s="77"/>
      <c r="J278" s="156"/>
      <c r="K278" s="77"/>
      <c r="L278" s="78"/>
      <c r="M278" s="78"/>
      <c r="N278" s="49"/>
      <c r="O278" s="49" t="e">
        <f>IF($E278="posto/hora extra",0,IF(OR(E278="posto/dia",E278="posto/dia líder"),VLOOKUP($C278,'Indicadores Financeiros'!$A$107:$J$119,8,FALSE)+VLOOKUP($C278,'Indicadores Financeiros'!$A$107:$J$119,9,FALSE)+VLOOKUP($C278,'Indicadores Financeiros'!$A$107:$J$119,10,FALSE),IF('Indicadores Financeiros'!$J$91=0,0,(VLOOKUP($C278,'Indicadores Financeiros'!$A$107:$J$119,9,FALSE)+VLOOKUP('Relatório Custo'!$C278,'Indicadores Financeiros'!$A$107:$J$119,10,FALSE)+('Indicadores Financeiros'!$J$87*'Relatório Custo'!$H278)))))</f>
        <v>#N/A</v>
      </c>
      <c r="P278" s="49"/>
      <c r="Q278" s="81"/>
      <c r="R278" s="81"/>
      <c r="S278" s="82"/>
      <c r="T278" s="47"/>
      <c r="U278" s="83"/>
      <c r="V278" s="24"/>
      <c r="W278" s="91"/>
      <c r="X278" s="20"/>
      <c r="Y278" s="114"/>
      <c r="Z278" s="43"/>
      <c r="AA278" s="41"/>
      <c r="AB278" s="25"/>
      <c r="AC278" s="23"/>
      <c r="AD278" s="23"/>
      <c r="AE278" s="154"/>
      <c r="AF278" s="155"/>
      <c r="AG278" s="155"/>
      <c r="AH278" s="31"/>
      <c r="AI278" s="31"/>
      <c r="AJ278" s="31"/>
      <c r="AK278" s="31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  <c r="IV278" s="25"/>
      <c r="IW278" s="25"/>
      <c r="IX278" s="25"/>
      <c r="IY278" s="25"/>
      <c r="IZ278" s="25"/>
      <c r="JA278" s="25"/>
      <c r="JB278" s="25"/>
      <c r="JC278" s="25"/>
      <c r="JD278" s="25"/>
      <c r="JE278" s="25"/>
      <c r="JF278" s="25"/>
      <c r="JG278" s="25"/>
      <c r="JH278" s="25"/>
      <c r="JI278" s="25"/>
      <c r="JJ278" s="25"/>
      <c r="JK278" s="25"/>
      <c r="JL278" s="25"/>
      <c r="JM278" s="25"/>
      <c r="JN278" s="25"/>
      <c r="JO278" s="25"/>
      <c r="JP278" s="25"/>
      <c r="JQ278" s="25"/>
      <c r="JR278" s="25"/>
      <c r="JS278" s="25"/>
      <c r="JT278" s="25"/>
      <c r="JU278" s="25"/>
      <c r="JV278" s="25"/>
      <c r="JW278" s="25"/>
      <c r="JX278" s="25"/>
      <c r="JY278" s="25"/>
      <c r="JZ278" s="25"/>
      <c r="KA278" s="25"/>
      <c r="KB278" s="25"/>
      <c r="KC278" s="25"/>
      <c r="KD278" s="25"/>
      <c r="KE278" s="25"/>
      <c r="KF278" s="25"/>
      <c r="KG278" s="25"/>
      <c r="KH278" s="25"/>
      <c r="KI278" s="25"/>
      <c r="KJ278" s="25"/>
      <c r="KK278" s="25"/>
      <c r="KL278" s="25"/>
      <c r="KM278" s="25"/>
      <c r="KN278" s="25"/>
      <c r="KO278" s="25"/>
      <c r="KP278" s="25"/>
      <c r="KQ278" s="25"/>
      <c r="KR278" s="25"/>
      <c r="KS278" s="25"/>
      <c r="KT278" s="25"/>
      <c r="KU278" s="25"/>
      <c r="KV278" s="25"/>
      <c r="KW278" s="25"/>
      <c r="KX278" s="25"/>
      <c r="KY278" s="25"/>
      <c r="KZ278" s="25"/>
      <c r="LA278" s="25"/>
      <c r="LB278" s="25"/>
      <c r="LC278" s="25"/>
      <c r="LD278" s="25"/>
      <c r="LE278" s="25"/>
      <c r="LF278" s="25"/>
      <c r="LG278" s="25"/>
      <c r="LH278" s="25"/>
      <c r="LI278" s="25"/>
      <c r="LJ278" s="25"/>
      <c r="LK278" s="25"/>
      <c r="LL278" s="25"/>
      <c r="LM278" s="25"/>
      <c r="LN278" s="25"/>
      <c r="LO278" s="25"/>
      <c r="LP278" s="25"/>
      <c r="LQ278" s="25"/>
      <c r="LR278" s="25"/>
      <c r="LS278" s="25"/>
      <c r="LT278" s="25"/>
      <c r="LU278" s="25"/>
      <c r="LV278" s="25"/>
      <c r="LW278" s="25"/>
      <c r="LX278" s="25"/>
      <c r="LY278" s="25"/>
      <c r="LZ278" s="25"/>
      <c r="MA278" s="25"/>
      <c r="MB278" s="25"/>
      <c r="MC278" s="25"/>
      <c r="MD278" s="25"/>
      <c r="ME278" s="25"/>
      <c r="MF278" s="25"/>
      <c r="MG278" s="25"/>
      <c r="MH278" s="25"/>
    </row>
    <row r="279" spans="1:346" s="26" customFormat="1">
      <c r="A279" s="21"/>
      <c r="B279" s="22"/>
      <c r="C279" s="4"/>
      <c r="D279" s="7"/>
      <c r="E279" s="7"/>
      <c r="F279" s="4"/>
      <c r="G279" s="4"/>
      <c r="H279" s="4"/>
      <c r="I279" s="77"/>
      <c r="J279" s="156"/>
      <c r="K279" s="77"/>
      <c r="L279" s="78"/>
      <c r="M279" s="78"/>
      <c r="N279" s="49"/>
      <c r="O279" s="49" t="e">
        <f>IF($E279="posto/hora extra",0,IF(OR(E279="posto/dia",E279="posto/dia líder"),VLOOKUP($C279,'Indicadores Financeiros'!$A$107:$J$119,8,FALSE)+VLOOKUP($C279,'Indicadores Financeiros'!$A$107:$J$119,9,FALSE)+VLOOKUP($C279,'Indicadores Financeiros'!$A$107:$J$119,10,FALSE),IF('Indicadores Financeiros'!$J$91=0,0,(VLOOKUP($C279,'Indicadores Financeiros'!$A$107:$J$119,9,FALSE)+VLOOKUP('Relatório Custo'!$C279,'Indicadores Financeiros'!$A$107:$J$119,10,FALSE)+('Indicadores Financeiros'!$J$87*'Relatório Custo'!$H279)))))</f>
        <v>#N/A</v>
      </c>
      <c r="P279" s="49"/>
      <c r="Q279" s="81"/>
      <c r="R279" s="81"/>
      <c r="S279" s="82"/>
      <c r="T279" s="47"/>
      <c r="U279" s="83"/>
      <c r="V279" s="24"/>
      <c r="W279" s="91"/>
      <c r="X279" s="20"/>
      <c r="Y279" s="114"/>
      <c r="Z279" s="43"/>
      <c r="AA279" s="41"/>
      <c r="AB279" s="25"/>
      <c r="AC279" s="23"/>
      <c r="AD279" s="23"/>
      <c r="AE279" s="154"/>
      <c r="AF279" s="155"/>
      <c r="AG279" s="155"/>
      <c r="AH279" s="31"/>
      <c r="AI279" s="31"/>
      <c r="AJ279" s="31"/>
      <c r="AK279" s="31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  <c r="IV279" s="25"/>
      <c r="IW279" s="25"/>
      <c r="IX279" s="25"/>
      <c r="IY279" s="25"/>
      <c r="IZ279" s="25"/>
      <c r="JA279" s="25"/>
      <c r="JB279" s="25"/>
      <c r="JC279" s="25"/>
      <c r="JD279" s="25"/>
      <c r="JE279" s="25"/>
      <c r="JF279" s="25"/>
      <c r="JG279" s="25"/>
      <c r="JH279" s="25"/>
      <c r="JI279" s="25"/>
      <c r="JJ279" s="25"/>
      <c r="JK279" s="25"/>
      <c r="JL279" s="25"/>
      <c r="JM279" s="25"/>
      <c r="JN279" s="25"/>
      <c r="JO279" s="25"/>
      <c r="JP279" s="25"/>
      <c r="JQ279" s="25"/>
      <c r="JR279" s="25"/>
      <c r="JS279" s="25"/>
      <c r="JT279" s="25"/>
      <c r="JU279" s="25"/>
      <c r="JV279" s="25"/>
      <c r="JW279" s="25"/>
      <c r="JX279" s="25"/>
      <c r="JY279" s="25"/>
      <c r="JZ279" s="25"/>
      <c r="KA279" s="25"/>
      <c r="KB279" s="25"/>
      <c r="KC279" s="25"/>
      <c r="KD279" s="25"/>
      <c r="KE279" s="25"/>
      <c r="KF279" s="25"/>
      <c r="KG279" s="25"/>
      <c r="KH279" s="25"/>
      <c r="KI279" s="25"/>
      <c r="KJ279" s="25"/>
      <c r="KK279" s="25"/>
      <c r="KL279" s="25"/>
      <c r="KM279" s="25"/>
      <c r="KN279" s="25"/>
      <c r="KO279" s="25"/>
      <c r="KP279" s="25"/>
      <c r="KQ279" s="25"/>
      <c r="KR279" s="25"/>
      <c r="KS279" s="25"/>
      <c r="KT279" s="25"/>
      <c r="KU279" s="25"/>
      <c r="KV279" s="25"/>
      <c r="KW279" s="25"/>
      <c r="KX279" s="25"/>
      <c r="KY279" s="25"/>
      <c r="KZ279" s="25"/>
      <c r="LA279" s="25"/>
      <c r="LB279" s="25"/>
      <c r="LC279" s="25"/>
      <c r="LD279" s="25"/>
      <c r="LE279" s="25"/>
      <c r="LF279" s="25"/>
      <c r="LG279" s="25"/>
      <c r="LH279" s="25"/>
      <c r="LI279" s="25"/>
      <c r="LJ279" s="25"/>
      <c r="LK279" s="25"/>
      <c r="LL279" s="25"/>
      <c r="LM279" s="25"/>
      <c r="LN279" s="25"/>
      <c r="LO279" s="25"/>
      <c r="LP279" s="25"/>
      <c r="LQ279" s="25"/>
      <c r="LR279" s="25"/>
      <c r="LS279" s="25"/>
      <c r="LT279" s="25"/>
      <c r="LU279" s="25"/>
      <c r="LV279" s="25"/>
      <c r="LW279" s="25"/>
      <c r="LX279" s="25"/>
      <c r="LY279" s="25"/>
      <c r="LZ279" s="25"/>
      <c r="MA279" s="25"/>
      <c r="MB279" s="25"/>
      <c r="MC279" s="25"/>
      <c r="MD279" s="25"/>
      <c r="ME279" s="25"/>
      <c r="MF279" s="25"/>
      <c r="MG279" s="25"/>
      <c r="MH279" s="25"/>
    </row>
    <row r="280" spans="1:346" s="26" customFormat="1">
      <c r="A280" s="21"/>
      <c r="B280" s="22"/>
      <c r="C280" s="4"/>
      <c r="D280" s="7"/>
      <c r="E280" s="7"/>
      <c r="F280" s="4"/>
      <c r="G280" s="4"/>
      <c r="H280" s="4"/>
      <c r="I280" s="77"/>
      <c r="J280" s="156"/>
      <c r="K280" s="77"/>
      <c r="L280" s="78"/>
      <c r="M280" s="78"/>
      <c r="N280" s="49"/>
      <c r="O280" s="49" t="e">
        <f>IF($E280="posto/hora extra",0,IF(OR(E280="posto/dia",E280="posto/dia líder"),VLOOKUP($C280,'Indicadores Financeiros'!$A$107:$J$119,8,FALSE)+VLOOKUP($C280,'Indicadores Financeiros'!$A$107:$J$119,9,FALSE)+VLOOKUP($C280,'Indicadores Financeiros'!$A$107:$J$119,10,FALSE),IF('Indicadores Financeiros'!$J$91=0,0,(VLOOKUP($C280,'Indicadores Financeiros'!$A$107:$J$119,9,FALSE)+VLOOKUP('Relatório Custo'!$C280,'Indicadores Financeiros'!$A$107:$J$119,10,FALSE)+('Indicadores Financeiros'!$J$87*'Relatório Custo'!$H280)))))</f>
        <v>#N/A</v>
      </c>
      <c r="P280" s="49"/>
      <c r="Q280" s="81"/>
      <c r="R280" s="81"/>
      <c r="S280" s="82"/>
      <c r="T280" s="47"/>
      <c r="U280" s="83"/>
      <c r="V280" s="24"/>
      <c r="W280" s="91"/>
      <c r="X280" s="20"/>
      <c r="Y280" s="114"/>
      <c r="Z280" s="43"/>
      <c r="AA280" s="41"/>
      <c r="AB280" s="25"/>
      <c r="AC280" s="23"/>
      <c r="AD280" s="23"/>
      <c r="AE280" s="154"/>
      <c r="AF280" s="155"/>
      <c r="AG280" s="155"/>
      <c r="AH280" s="31"/>
      <c r="AI280" s="31"/>
      <c r="AJ280" s="31"/>
      <c r="AK280" s="31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  <c r="IV280" s="25"/>
      <c r="IW280" s="25"/>
      <c r="IX280" s="25"/>
      <c r="IY280" s="25"/>
      <c r="IZ280" s="25"/>
      <c r="JA280" s="25"/>
      <c r="JB280" s="25"/>
      <c r="JC280" s="25"/>
      <c r="JD280" s="25"/>
      <c r="JE280" s="25"/>
      <c r="JF280" s="25"/>
      <c r="JG280" s="25"/>
      <c r="JH280" s="25"/>
      <c r="JI280" s="25"/>
      <c r="JJ280" s="25"/>
      <c r="JK280" s="25"/>
      <c r="JL280" s="25"/>
      <c r="JM280" s="25"/>
      <c r="JN280" s="25"/>
      <c r="JO280" s="25"/>
      <c r="JP280" s="25"/>
      <c r="JQ280" s="25"/>
      <c r="JR280" s="25"/>
      <c r="JS280" s="25"/>
      <c r="JT280" s="25"/>
      <c r="JU280" s="25"/>
      <c r="JV280" s="25"/>
      <c r="JW280" s="25"/>
      <c r="JX280" s="25"/>
      <c r="JY280" s="25"/>
      <c r="JZ280" s="25"/>
      <c r="KA280" s="25"/>
      <c r="KB280" s="25"/>
      <c r="KC280" s="25"/>
      <c r="KD280" s="25"/>
      <c r="KE280" s="25"/>
      <c r="KF280" s="25"/>
      <c r="KG280" s="25"/>
      <c r="KH280" s="25"/>
      <c r="KI280" s="25"/>
      <c r="KJ280" s="25"/>
      <c r="KK280" s="25"/>
      <c r="KL280" s="25"/>
      <c r="KM280" s="25"/>
      <c r="KN280" s="25"/>
      <c r="KO280" s="25"/>
      <c r="KP280" s="25"/>
      <c r="KQ280" s="25"/>
      <c r="KR280" s="25"/>
      <c r="KS280" s="25"/>
      <c r="KT280" s="25"/>
      <c r="KU280" s="25"/>
      <c r="KV280" s="25"/>
      <c r="KW280" s="25"/>
      <c r="KX280" s="25"/>
      <c r="KY280" s="25"/>
      <c r="KZ280" s="25"/>
      <c r="LA280" s="25"/>
      <c r="LB280" s="25"/>
      <c r="LC280" s="25"/>
      <c r="LD280" s="25"/>
      <c r="LE280" s="25"/>
      <c r="LF280" s="25"/>
      <c r="LG280" s="25"/>
      <c r="LH280" s="25"/>
      <c r="LI280" s="25"/>
      <c r="LJ280" s="25"/>
      <c r="LK280" s="25"/>
      <c r="LL280" s="25"/>
      <c r="LM280" s="25"/>
      <c r="LN280" s="25"/>
      <c r="LO280" s="25"/>
      <c r="LP280" s="25"/>
      <c r="LQ280" s="25"/>
      <c r="LR280" s="25"/>
      <c r="LS280" s="25"/>
      <c r="LT280" s="25"/>
      <c r="LU280" s="25"/>
      <c r="LV280" s="25"/>
      <c r="LW280" s="25"/>
      <c r="LX280" s="25"/>
      <c r="LY280" s="25"/>
      <c r="LZ280" s="25"/>
      <c r="MA280" s="25"/>
      <c r="MB280" s="25"/>
      <c r="MC280" s="25"/>
      <c r="MD280" s="25"/>
      <c r="ME280" s="25"/>
      <c r="MF280" s="25"/>
      <c r="MG280" s="25"/>
      <c r="MH280" s="25"/>
    </row>
    <row r="281" spans="1:346" s="26" customFormat="1">
      <c r="A281" s="21"/>
      <c r="B281" s="22"/>
      <c r="C281" s="4"/>
      <c r="D281" s="7"/>
      <c r="E281" s="7"/>
      <c r="F281" s="4"/>
      <c r="G281" s="4"/>
      <c r="H281" s="4"/>
      <c r="I281" s="77"/>
      <c r="J281" s="156"/>
      <c r="K281" s="77"/>
      <c r="L281" s="78"/>
      <c r="M281" s="78"/>
      <c r="N281" s="49"/>
      <c r="O281" s="49" t="e">
        <f>IF($E281="posto/hora extra",0,IF(OR(E281="posto/dia",E281="posto/dia líder"),VLOOKUP($C281,'Indicadores Financeiros'!$A$107:$J$119,8,FALSE)+VLOOKUP($C281,'Indicadores Financeiros'!$A$107:$J$119,9,FALSE)+VLOOKUP($C281,'Indicadores Financeiros'!$A$107:$J$119,10,FALSE),IF('Indicadores Financeiros'!$J$91=0,0,(VLOOKUP($C281,'Indicadores Financeiros'!$A$107:$J$119,9,FALSE)+VLOOKUP('Relatório Custo'!$C281,'Indicadores Financeiros'!$A$107:$J$119,10,FALSE)+('Indicadores Financeiros'!$J$87*'Relatório Custo'!$H281)))))</f>
        <v>#N/A</v>
      </c>
      <c r="P281" s="49"/>
      <c r="Q281" s="81"/>
      <c r="R281" s="81"/>
      <c r="S281" s="82"/>
      <c r="T281" s="47"/>
      <c r="U281" s="83"/>
      <c r="V281" s="24"/>
      <c r="W281" s="91"/>
      <c r="X281" s="20"/>
      <c r="Y281" s="114"/>
      <c r="Z281" s="43"/>
      <c r="AA281" s="41"/>
      <c r="AB281" s="25"/>
      <c r="AC281" s="23"/>
      <c r="AD281" s="23"/>
      <c r="AE281" s="154"/>
      <c r="AF281" s="155"/>
      <c r="AG281" s="155"/>
      <c r="AH281" s="31"/>
      <c r="AI281" s="31"/>
      <c r="AJ281" s="31"/>
      <c r="AK281" s="31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  <c r="IV281" s="25"/>
      <c r="IW281" s="25"/>
      <c r="IX281" s="25"/>
      <c r="IY281" s="25"/>
      <c r="IZ281" s="25"/>
      <c r="JA281" s="25"/>
      <c r="JB281" s="25"/>
      <c r="JC281" s="25"/>
      <c r="JD281" s="25"/>
      <c r="JE281" s="25"/>
      <c r="JF281" s="25"/>
      <c r="JG281" s="25"/>
      <c r="JH281" s="25"/>
      <c r="JI281" s="25"/>
      <c r="JJ281" s="25"/>
      <c r="JK281" s="25"/>
      <c r="JL281" s="25"/>
      <c r="JM281" s="25"/>
      <c r="JN281" s="25"/>
      <c r="JO281" s="25"/>
      <c r="JP281" s="25"/>
      <c r="JQ281" s="25"/>
      <c r="JR281" s="25"/>
      <c r="JS281" s="25"/>
      <c r="JT281" s="25"/>
      <c r="JU281" s="25"/>
      <c r="JV281" s="25"/>
      <c r="JW281" s="25"/>
      <c r="JX281" s="25"/>
      <c r="JY281" s="25"/>
      <c r="JZ281" s="25"/>
      <c r="KA281" s="25"/>
      <c r="KB281" s="25"/>
      <c r="KC281" s="25"/>
      <c r="KD281" s="25"/>
      <c r="KE281" s="25"/>
      <c r="KF281" s="25"/>
      <c r="KG281" s="25"/>
      <c r="KH281" s="25"/>
      <c r="KI281" s="25"/>
      <c r="KJ281" s="25"/>
      <c r="KK281" s="25"/>
      <c r="KL281" s="25"/>
      <c r="KM281" s="25"/>
      <c r="KN281" s="25"/>
      <c r="KO281" s="25"/>
      <c r="KP281" s="25"/>
      <c r="KQ281" s="25"/>
      <c r="KR281" s="25"/>
      <c r="KS281" s="25"/>
      <c r="KT281" s="25"/>
      <c r="KU281" s="25"/>
      <c r="KV281" s="25"/>
      <c r="KW281" s="25"/>
      <c r="KX281" s="25"/>
      <c r="KY281" s="25"/>
      <c r="KZ281" s="25"/>
      <c r="LA281" s="25"/>
      <c r="LB281" s="25"/>
      <c r="LC281" s="25"/>
      <c r="LD281" s="25"/>
      <c r="LE281" s="25"/>
      <c r="LF281" s="25"/>
      <c r="LG281" s="25"/>
      <c r="LH281" s="25"/>
      <c r="LI281" s="25"/>
      <c r="LJ281" s="25"/>
      <c r="LK281" s="25"/>
      <c r="LL281" s="25"/>
      <c r="LM281" s="25"/>
      <c r="LN281" s="25"/>
      <c r="LO281" s="25"/>
      <c r="LP281" s="25"/>
      <c r="LQ281" s="25"/>
      <c r="LR281" s="25"/>
      <c r="LS281" s="25"/>
      <c r="LT281" s="25"/>
      <c r="LU281" s="25"/>
      <c r="LV281" s="25"/>
      <c r="LW281" s="25"/>
      <c r="LX281" s="25"/>
      <c r="LY281" s="25"/>
      <c r="LZ281" s="25"/>
      <c r="MA281" s="25"/>
      <c r="MB281" s="25"/>
      <c r="MC281" s="25"/>
      <c r="MD281" s="25"/>
      <c r="ME281" s="25"/>
      <c r="MF281" s="25"/>
      <c r="MG281" s="25"/>
      <c r="MH281" s="25"/>
    </row>
    <row r="282" spans="1:346" s="26" customFormat="1">
      <c r="A282" s="21"/>
      <c r="B282" s="22"/>
      <c r="C282" s="4"/>
      <c r="D282" s="7"/>
      <c r="E282" s="7"/>
      <c r="F282" s="4"/>
      <c r="G282" s="4"/>
      <c r="H282" s="4"/>
      <c r="I282" s="77"/>
      <c r="J282" s="156"/>
      <c r="K282" s="77"/>
      <c r="L282" s="78"/>
      <c r="M282" s="78"/>
      <c r="N282" s="49"/>
      <c r="O282" s="49" t="e">
        <f>IF($E282="posto/hora extra",0,IF(OR(E282="posto/dia",E282="posto/dia líder"),VLOOKUP($C282,'Indicadores Financeiros'!$A$107:$J$119,8,FALSE)+VLOOKUP($C282,'Indicadores Financeiros'!$A$107:$J$119,9,FALSE)+VLOOKUP($C282,'Indicadores Financeiros'!$A$107:$J$119,10,FALSE),IF('Indicadores Financeiros'!$J$91=0,0,(VLOOKUP($C282,'Indicadores Financeiros'!$A$107:$J$119,9,FALSE)+VLOOKUP('Relatório Custo'!$C282,'Indicadores Financeiros'!$A$107:$J$119,10,FALSE)+('Indicadores Financeiros'!$J$87*'Relatório Custo'!$H282)))))</f>
        <v>#N/A</v>
      </c>
      <c r="P282" s="49"/>
      <c r="Q282" s="81"/>
      <c r="R282" s="81"/>
      <c r="S282" s="82"/>
      <c r="T282" s="47"/>
      <c r="U282" s="83"/>
      <c r="V282" s="24"/>
      <c r="W282" s="91"/>
      <c r="X282" s="20"/>
      <c r="Y282" s="114"/>
      <c r="Z282" s="43"/>
      <c r="AA282" s="41"/>
      <c r="AB282" s="25"/>
      <c r="AC282" s="23"/>
      <c r="AD282" s="23"/>
      <c r="AE282" s="154"/>
      <c r="AF282" s="155"/>
      <c r="AG282" s="155"/>
      <c r="AH282" s="31"/>
      <c r="AI282" s="31"/>
      <c r="AJ282" s="31"/>
      <c r="AK282" s="31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  <c r="IV282" s="25"/>
      <c r="IW282" s="25"/>
      <c r="IX282" s="25"/>
      <c r="IY282" s="25"/>
      <c r="IZ282" s="25"/>
      <c r="JA282" s="25"/>
      <c r="JB282" s="25"/>
      <c r="JC282" s="25"/>
      <c r="JD282" s="25"/>
      <c r="JE282" s="25"/>
      <c r="JF282" s="25"/>
      <c r="JG282" s="25"/>
      <c r="JH282" s="25"/>
      <c r="JI282" s="25"/>
      <c r="JJ282" s="25"/>
      <c r="JK282" s="25"/>
      <c r="JL282" s="25"/>
      <c r="JM282" s="25"/>
      <c r="JN282" s="25"/>
      <c r="JO282" s="25"/>
      <c r="JP282" s="25"/>
      <c r="JQ282" s="25"/>
      <c r="JR282" s="25"/>
      <c r="JS282" s="25"/>
      <c r="JT282" s="25"/>
      <c r="JU282" s="25"/>
      <c r="JV282" s="25"/>
      <c r="JW282" s="25"/>
      <c r="JX282" s="25"/>
      <c r="JY282" s="25"/>
      <c r="JZ282" s="25"/>
      <c r="KA282" s="25"/>
      <c r="KB282" s="25"/>
      <c r="KC282" s="25"/>
      <c r="KD282" s="25"/>
      <c r="KE282" s="25"/>
      <c r="KF282" s="25"/>
      <c r="KG282" s="25"/>
      <c r="KH282" s="25"/>
      <c r="KI282" s="25"/>
      <c r="KJ282" s="25"/>
      <c r="KK282" s="25"/>
      <c r="KL282" s="25"/>
      <c r="KM282" s="25"/>
      <c r="KN282" s="25"/>
      <c r="KO282" s="25"/>
      <c r="KP282" s="25"/>
      <c r="KQ282" s="25"/>
      <c r="KR282" s="25"/>
      <c r="KS282" s="25"/>
      <c r="KT282" s="25"/>
      <c r="KU282" s="25"/>
      <c r="KV282" s="25"/>
      <c r="KW282" s="25"/>
      <c r="KX282" s="25"/>
      <c r="KY282" s="25"/>
      <c r="KZ282" s="25"/>
      <c r="LA282" s="25"/>
      <c r="LB282" s="25"/>
      <c r="LC282" s="25"/>
      <c r="LD282" s="25"/>
      <c r="LE282" s="25"/>
      <c r="LF282" s="25"/>
      <c r="LG282" s="25"/>
      <c r="LH282" s="25"/>
      <c r="LI282" s="25"/>
      <c r="LJ282" s="25"/>
      <c r="LK282" s="25"/>
      <c r="LL282" s="25"/>
      <c r="LM282" s="25"/>
      <c r="LN282" s="25"/>
      <c r="LO282" s="25"/>
      <c r="LP282" s="25"/>
      <c r="LQ282" s="25"/>
      <c r="LR282" s="25"/>
      <c r="LS282" s="25"/>
      <c r="LT282" s="25"/>
      <c r="LU282" s="25"/>
      <c r="LV282" s="25"/>
      <c r="LW282" s="25"/>
      <c r="LX282" s="25"/>
      <c r="LY282" s="25"/>
      <c r="LZ282" s="25"/>
      <c r="MA282" s="25"/>
      <c r="MB282" s="25"/>
      <c r="MC282" s="25"/>
      <c r="MD282" s="25"/>
      <c r="ME282" s="25"/>
      <c r="MF282" s="25"/>
      <c r="MG282" s="25"/>
      <c r="MH282" s="25"/>
    </row>
    <row r="283" spans="1:346" s="26" customFormat="1">
      <c r="A283" s="21"/>
      <c r="B283" s="22"/>
      <c r="C283" s="4"/>
      <c r="D283" s="7"/>
      <c r="E283" s="7"/>
      <c r="F283" s="4"/>
      <c r="G283" s="4"/>
      <c r="H283" s="4"/>
      <c r="I283" s="77"/>
      <c r="J283" s="156"/>
      <c r="K283" s="77"/>
      <c r="L283" s="78"/>
      <c r="M283" s="78"/>
      <c r="N283" s="49"/>
      <c r="O283" s="49" t="e">
        <f>IF($E283="posto/hora extra",0,IF(OR(E283="posto/dia",E283="posto/dia líder"),VLOOKUP($C283,'Indicadores Financeiros'!$A$107:$J$119,8,FALSE)+VLOOKUP($C283,'Indicadores Financeiros'!$A$107:$J$119,9,FALSE)+VLOOKUP($C283,'Indicadores Financeiros'!$A$107:$J$119,10,FALSE),IF('Indicadores Financeiros'!$J$91=0,0,(VLOOKUP($C283,'Indicadores Financeiros'!$A$107:$J$119,9,FALSE)+VLOOKUP('Relatório Custo'!$C283,'Indicadores Financeiros'!$A$107:$J$119,10,FALSE)+('Indicadores Financeiros'!$J$87*'Relatório Custo'!$H283)))))</f>
        <v>#N/A</v>
      </c>
      <c r="P283" s="49"/>
      <c r="Q283" s="81"/>
      <c r="R283" s="81"/>
      <c r="S283" s="82"/>
      <c r="T283" s="47"/>
      <c r="U283" s="83"/>
      <c r="V283" s="24"/>
      <c r="W283" s="91"/>
      <c r="X283" s="20"/>
      <c r="Y283" s="114"/>
      <c r="Z283" s="43"/>
      <c r="AA283" s="41"/>
      <c r="AB283" s="25"/>
      <c r="AC283" s="23"/>
      <c r="AD283" s="23"/>
      <c r="AE283" s="154"/>
      <c r="AF283" s="155"/>
      <c r="AG283" s="155"/>
      <c r="AH283" s="31"/>
      <c r="AI283" s="31"/>
      <c r="AJ283" s="31"/>
      <c r="AK283" s="31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  <c r="IV283" s="25"/>
      <c r="IW283" s="25"/>
      <c r="IX283" s="25"/>
      <c r="IY283" s="25"/>
      <c r="IZ283" s="25"/>
      <c r="JA283" s="25"/>
      <c r="JB283" s="25"/>
      <c r="JC283" s="25"/>
      <c r="JD283" s="25"/>
      <c r="JE283" s="25"/>
      <c r="JF283" s="25"/>
      <c r="JG283" s="25"/>
      <c r="JH283" s="25"/>
      <c r="JI283" s="25"/>
      <c r="JJ283" s="25"/>
      <c r="JK283" s="25"/>
      <c r="JL283" s="25"/>
      <c r="JM283" s="25"/>
      <c r="JN283" s="25"/>
      <c r="JO283" s="25"/>
      <c r="JP283" s="25"/>
      <c r="JQ283" s="25"/>
      <c r="JR283" s="25"/>
      <c r="JS283" s="25"/>
      <c r="JT283" s="25"/>
      <c r="JU283" s="25"/>
      <c r="JV283" s="25"/>
      <c r="JW283" s="25"/>
      <c r="JX283" s="25"/>
      <c r="JY283" s="25"/>
      <c r="JZ283" s="25"/>
      <c r="KA283" s="25"/>
      <c r="KB283" s="25"/>
      <c r="KC283" s="25"/>
      <c r="KD283" s="25"/>
      <c r="KE283" s="25"/>
      <c r="KF283" s="25"/>
      <c r="KG283" s="25"/>
      <c r="KH283" s="25"/>
      <c r="KI283" s="25"/>
      <c r="KJ283" s="25"/>
      <c r="KK283" s="25"/>
      <c r="KL283" s="25"/>
      <c r="KM283" s="25"/>
      <c r="KN283" s="25"/>
      <c r="KO283" s="25"/>
      <c r="KP283" s="25"/>
      <c r="KQ283" s="25"/>
      <c r="KR283" s="25"/>
      <c r="KS283" s="25"/>
      <c r="KT283" s="25"/>
      <c r="KU283" s="25"/>
      <c r="KV283" s="25"/>
      <c r="KW283" s="25"/>
      <c r="KX283" s="25"/>
      <c r="KY283" s="25"/>
      <c r="KZ283" s="25"/>
      <c r="LA283" s="25"/>
      <c r="LB283" s="25"/>
      <c r="LC283" s="25"/>
      <c r="LD283" s="25"/>
      <c r="LE283" s="25"/>
      <c r="LF283" s="25"/>
      <c r="LG283" s="25"/>
      <c r="LH283" s="25"/>
      <c r="LI283" s="25"/>
      <c r="LJ283" s="25"/>
      <c r="LK283" s="25"/>
      <c r="LL283" s="25"/>
      <c r="LM283" s="25"/>
      <c r="LN283" s="25"/>
      <c r="LO283" s="25"/>
      <c r="LP283" s="25"/>
      <c r="LQ283" s="25"/>
      <c r="LR283" s="25"/>
      <c r="LS283" s="25"/>
      <c r="LT283" s="25"/>
      <c r="LU283" s="25"/>
      <c r="LV283" s="25"/>
      <c r="LW283" s="25"/>
      <c r="LX283" s="25"/>
      <c r="LY283" s="25"/>
      <c r="LZ283" s="25"/>
      <c r="MA283" s="25"/>
      <c r="MB283" s="25"/>
      <c r="MC283" s="25"/>
      <c r="MD283" s="25"/>
      <c r="ME283" s="25"/>
      <c r="MF283" s="25"/>
      <c r="MG283" s="25"/>
      <c r="MH283" s="25"/>
    </row>
    <row r="284" spans="1:346" s="26" customFormat="1">
      <c r="A284" s="21"/>
      <c r="B284" s="22"/>
      <c r="C284" s="4"/>
      <c r="D284" s="7"/>
      <c r="E284" s="7"/>
      <c r="F284" s="4"/>
      <c r="G284" s="4"/>
      <c r="H284" s="4"/>
      <c r="I284" s="77"/>
      <c r="J284" s="156"/>
      <c r="K284" s="77"/>
      <c r="L284" s="78"/>
      <c r="M284" s="78"/>
      <c r="N284" s="49"/>
      <c r="O284" s="49" t="e">
        <f>IF($E284="posto/hora extra",0,IF(OR(E284="posto/dia",E284="posto/dia líder"),VLOOKUP($C284,'Indicadores Financeiros'!$A$107:$J$119,8,FALSE)+VLOOKUP($C284,'Indicadores Financeiros'!$A$107:$J$119,9,FALSE)+VLOOKUP($C284,'Indicadores Financeiros'!$A$107:$J$119,10,FALSE),IF('Indicadores Financeiros'!$J$91=0,0,(VLOOKUP($C284,'Indicadores Financeiros'!$A$107:$J$119,9,FALSE)+VLOOKUP('Relatório Custo'!$C284,'Indicadores Financeiros'!$A$107:$J$119,10,FALSE)+('Indicadores Financeiros'!$J$87*'Relatório Custo'!$H284)))))</f>
        <v>#N/A</v>
      </c>
      <c r="P284" s="49"/>
      <c r="Q284" s="81"/>
      <c r="R284" s="81"/>
      <c r="S284" s="82"/>
      <c r="T284" s="47"/>
      <c r="U284" s="83"/>
      <c r="V284" s="24"/>
      <c r="W284" s="91"/>
      <c r="X284" s="20"/>
      <c r="Y284" s="114"/>
      <c r="Z284" s="43"/>
      <c r="AA284" s="41"/>
      <c r="AB284" s="25"/>
      <c r="AC284" s="23"/>
      <c r="AD284" s="23"/>
      <c r="AE284" s="154"/>
      <c r="AF284" s="155"/>
      <c r="AG284" s="155"/>
      <c r="AH284" s="31"/>
      <c r="AI284" s="31"/>
      <c r="AJ284" s="31"/>
      <c r="AK284" s="31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  <c r="IV284" s="25"/>
      <c r="IW284" s="25"/>
      <c r="IX284" s="25"/>
      <c r="IY284" s="25"/>
      <c r="IZ284" s="25"/>
      <c r="JA284" s="25"/>
      <c r="JB284" s="25"/>
      <c r="JC284" s="25"/>
      <c r="JD284" s="25"/>
      <c r="JE284" s="25"/>
      <c r="JF284" s="25"/>
      <c r="JG284" s="25"/>
      <c r="JH284" s="25"/>
      <c r="JI284" s="25"/>
      <c r="JJ284" s="25"/>
      <c r="JK284" s="25"/>
      <c r="JL284" s="25"/>
      <c r="JM284" s="25"/>
      <c r="JN284" s="25"/>
      <c r="JO284" s="25"/>
      <c r="JP284" s="25"/>
      <c r="JQ284" s="25"/>
      <c r="JR284" s="25"/>
      <c r="JS284" s="25"/>
      <c r="JT284" s="25"/>
      <c r="JU284" s="25"/>
      <c r="JV284" s="25"/>
      <c r="JW284" s="25"/>
      <c r="JX284" s="25"/>
      <c r="JY284" s="25"/>
      <c r="JZ284" s="25"/>
      <c r="KA284" s="25"/>
      <c r="KB284" s="25"/>
      <c r="KC284" s="25"/>
      <c r="KD284" s="25"/>
      <c r="KE284" s="25"/>
      <c r="KF284" s="25"/>
      <c r="KG284" s="25"/>
      <c r="KH284" s="25"/>
      <c r="KI284" s="25"/>
      <c r="KJ284" s="25"/>
      <c r="KK284" s="25"/>
      <c r="KL284" s="25"/>
      <c r="KM284" s="25"/>
      <c r="KN284" s="25"/>
      <c r="KO284" s="25"/>
      <c r="KP284" s="25"/>
      <c r="KQ284" s="25"/>
      <c r="KR284" s="25"/>
      <c r="KS284" s="25"/>
      <c r="KT284" s="25"/>
      <c r="KU284" s="25"/>
      <c r="KV284" s="25"/>
      <c r="KW284" s="25"/>
      <c r="KX284" s="25"/>
      <c r="KY284" s="25"/>
      <c r="KZ284" s="25"/>
      <c r="LA284" s="25"/>
      <c r="LB284" s="25"/>
      <c r="LC284" s="25"/>
      <c r="LD284" s="25"/>
      <c r="LE284" s="25"/>
      <c r="LF284" s="25"/>
      <c r="LG284" s="25"/>
      <c r="LH284" s="25"/>
      <c r="LI284" s="25"/>
      <c r="LJ284" s="25"/>
      <c r="LK284" s="25"/>
      <c r="LL284" s="25"/>
      <c r="LM284" s="25"/>
      <c r="LN284" s="25"/>
      <c r="LO284" s="25"/>
      <c r="LP284" s="25"/>
      <c r="LQ284" s="25"/>
      <c r="LR284" s="25"/>
      <c r="LS284" s="25"/>
      <c r="LT284" s="25"/>
      <c r="LU284" s="25"/>
      <c r="LV284" s="25"/>
      <c r="LW284" s="25"/>
      <c r="LX284" s="25"/>
      <c r="LY284" s="25"/>
      <c r="LZ284" s="25"/>
      <c r="MA284" s="25"/>
      <c r="MB284" s="25"/>
      <c r="MC284" s="25"/>
      <c r="MD284" s="25"/>
      <c r="ME284" s="25"/>
      <c r="MF284" s="25"/>
      <c r="MG284" s="25"/>
      <c r="MH284" s="25"/>
    </row>
    <row r="285" spans="1:346" s="26" customFormat="1">
      <c r="A285" s="21"/>
      <c r="B285" s="22"/>
      <c r="C285" s="4"/>
      <c r="D285" s="7"/>
      <c r="E285" s="7"/>
      <c r="F285" s="4"/>
      <c r="G285" s="4"/>
      <c r="H285" s="4"/>
      <c r="I285" s="77"/>
      <c r="J285" s="156"/>
      <c r="K285" s="77"/>
      <c r="L285" s="78"/>
      <c r="M285" s="78"/>
      <c r="N285" s="49"/>
      <c r="O285" s="49" t="e">
        <f>IF($E285="posto/hora extra",0,IF(OR(E285="posto/dia",E285="posto/dia líder"),VLOOKUP($C285,'Indicadores Financeiros'!$A$107:$J$119,8,FALSE)+VLOOKUP($C285,'Indicadores Financeiros'!$A$107:$J$119,9,FALSE)+VLOOKUP($C285,'Indicadores Financeiros'!$A$107:$J$119,10,FALSE),IF('Indicadores Financeiros'!$J$91=0,0,(VLOOKUP($C285,'Indicadores Financeiros'!$A$107:$J$119,9,FALSE)+VLOOKUP('Relatório Custo'!$C285,'Indicadores Financeiros'!$A$107:$J$119,10,FALSE)+('Indicadores Financeiros'!$J$87*'Relatório Custo'!$H285)))))</f>
        <v>#N/A</v>
      </c>
      <c r="P285" s="49"/>
      <c r="Q285" s="81"/>
      <c r="R285" s="81"/>
      <c r="S285" s="82"/>
      <c r="T285" s="47"/>
      <c r="U285" s="83"/>
      <c r="V285" s="24"/>
      <c r="W285" s="91"/>
      <c r="X285" s="20"/>
      <c r="Y285" s="114"/>
      <c r="Z285" s="43"/>
      <c r="AA285" s="41"/>
      <c r="AB285" s="25"/>
      <c r="AC285" s="23"/>
      <c r="AD285" s="23"/>
      <c r="AE285" s="154"/>
      <c r="AF285" s="155"/>
      <c r="AG285" s="155"/>
      <c r="AH285" s="31"/>
      <c r="AI285" s="31"/>
      <c r="AJ285" s="31"/>
      <c r="AK285" s="31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  <c r="IV285" s="25"/>
      <c r="IW285" s="25"/>
      <c r="IX285" s="25"/>
      <c r="IY285" s="25"/>
      <c r="IZ285" s="25"/>
      <c r="JA285" s="25"/>
      <c r="JB285" s="25"/>
      <c r="JC285" s="25"/>
      <c r="JD285" s="25"/>
      <c r="JE285" s="25"/>
      <c r="JF285" s="25"/>
      <c r="JG285" s="25"/>
      <c r="JH285" s="25"/>
      <c r="JI285" s="25"/>
      <c r="JJ285" s="25"/>
      <c r="JK285" s="25"/>
      <c r="JL285" s="25"/>
      <c r="JM285" s="25"/>
      <c r="JN285" s="25"/>
      <c r="JO285" s="25"/>
      <c r="JP285" s="25"/>
      <c r="JQ285" s="25"/>
      <c r="JR285" s="25"/>
      <c r="JS285" s="25"/>
      <c r="JT285" s="25"/>
      <c r="JU285" s="25"/>
      <c r="JV285" s="25"/>
      <c r="JW285" s="25"/>
      <c r="JX285" s="25"/>
      <c r="JY285" s="25"/>
      <c r="JZ285" s="25"/>
      <c r="KA285" s="25"/>
      <c r="KB285" s="25"/>
      <c r="KC285" s="25"/>
      <c r="KD285" s="25"/>
      <c r="KE285" s="25"/>
      <c r="KF285" s="25"/>
      <c r="KG285" s="25"/>
      <c r="KH285" s="25"/>
      <c r="KI285" s="25"/>
      <c r="KJ285" s="25"/>
      <c r="KK285" s="25"/>
      <c r="KL285" s="25"/>
      <c r="KM285" s="25"/>
      <c r="KN285" s="25"/>
      <c r="KO285" s="25"/>
      <c r="KP285" s="25"/>
      <c r="KQ285" s="25"/>
      <c r="KR285" s="25"/>
      <c r="KS285" s="25"/>
      <c r="KT285" s="25"/>
      <c r="KU285" s="25"/>
      <c r="KV285" s="25"/>
      <c r="KW285" s="25"/>
      <c r="KX285" s="25"/>
      <c r="KY285" s="25"/>
      <c r="KZ285" s="25"/>
      <c r="LA285" s="25"/>
      <c r="LB285" s="25"/>
      <c r="LC285" s="25"/>
      <c r="LD285" s="25"/>
      <c r="LE285" s="25"/>
      <c r="LF285" s="25"/>
      <c r="LG285" s="25"/>
      <c r="LH285" s="25"/>
      <c r="LI285" s="25"/>
      <c r="LJ285" s="25"/>
      <c r="LK285" s="25"/>
      <c r="LL285" s="25"/>
      <c r="LM285" s="25"/>
      <c r="LN285" s="25"/>
      <c r="LO285" s="25"/>
      <c r="LP285" s="25"/>
      <c r="LQ285" s="25"/>
      <c r="LR285" s="25"/>
      <c r="LS285" s="25"/>
      <c r="LT285" s="25"/>
      <c r="LU285" s="25"/>
      <c r="LV285" s="25"/>
      <c r="LW285" s="25"/>
      <c r="LX285" s="25"/>
      <c r="LY285" s="25"/>
      <c r="LZ285" s="25"/>
      <c r="MA285" s="25"/>
      <c r="MB285" s="25"/>
      <c r="MC285" s="25"/>
      <c r="MD285" s="25"/>
      <c r="ME285" s="25"/>
      <c r="MF285" s="25"/>
      <c r="MG285" s="25"/>
      <c r="MH285" s="25"/>
    </row>
    <row r="286" spans="1:346" s="26" customFormat="1">
      <c r="A286" s="21"/>
      <c r="B286" s="22"/>
      <c r="C286" s="4"/>
      <c r="D286" s="7"/>
      <c r="E286" s="7"/>
      <c r="F286" s="4"/>
      <c r="G286" s="4"/>
      <c r="H286" s="4"/>
      <c r="I286" s="77"/>
      <c r="J286" s="156"/>
      <c r="K286" s="77"/>
      <c r="L286" s="78"/>
      <c r="M286" s="78"/>
      <c r="N286" s="49"/>
      <c r="O286" s="49" t="e">
        <f>IF($E286="posto/hora extra",0,IF(OR(E286="posto/dia",E286="posto/dia líder"),VLOOKUP($C286,'Indicadores Financeiros'!$A$107:$J$119,8,FALSE)+VLOOKUP($C286,'Indicadores Financeiros'!$A$107:$J$119,9,FALSE)+VLOOKUP($C286,'Indicadores Financeiros'!$A$107:$J$119,10,FALSE),IF('Indicadores Financeiros'!$J$91=0,0,(VLOOKUP($C286,'Indicadores Financeiros'!$A$107:$J$119,9,FALSE)+VLOOKUP('Relatório Custo'!$C286,'Indicadores Financeiros'!$A$107:$J$119,10,FALSE)+('Indicadores Financeiros'!$J$87*'Relatório Custo'!$H286)))))</f>
        <v>#N/A</v>
      </c>
      <c r="P286" s="49"/>
      <c r="Q286" s="81"/>
      <c r="R286" s="81"/>
      <c r="S286" s="82"/>
      <c r="T286" s="47"/>
      <c r="U286" s="83"/>
      <c r="V286" s="24"/>
      <c r="W286" s="91"/>
      <c r="X286" s="20"/>
      <c r="Y286" s="114"/>
      <c r="Z286" s="43"/>
      <c r="AA286" s="41"/>
      <c r="AB286" s="25"/>
      <c r="AC286" s="23"/>
      <c r="AD286" s="23"/>
      <c r="AE286" s="154"/>
      <c r="AF286" s="155"/>
      <c r="AG286" s="155"/>
      <c r="AH286" s="31"/>
      <c r="AI286" s="31"/>
      <c r="AJ286" s="31"/>
      <c r="AK286" s="31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  <c r="IV286" s="25"/>
      <c r="IW286" s="25"/>
      <c r="IX286" s="25"/>
      <c r="IY286" s="25"/>
      <c r="IZ286" s="25"/>
      <c r="JA286" s="25"/>
      <c r="JB286" s="25"/>
      <c r="JC286" s="25"/>
      <c r="JD286" s="25"/>
      <c r="JE286" s="25"/>
      <c r="JF286" s="25"/>
      <c r="JG286" s="25"/>
      <c r="JH286" s="25"/>
      <c r="JI286" s="25"/>
      <c r="JJ286" s="25"/>
      <c r="JK286" s="25"/>
      <c r="JL286" s="25"/>
      <c r="JM286" s="25"/>
      <c r="JN286" s="25"/>
      <c r="JO286" s="25"/>
      <c r="JP286" s="25"/>
      <c r="JQ286" s="25"/>
      <c r="JR286" s="25"/>
      <c r="JS286" s="25"/>
      <c r="JT286" s="25"/>
      <c r="JU286" s="25"/>
      <c r="JV286" s="25"/>
      <c r="JW286" s="25"/>
      <c r="JX286" s="25"/>
      <c r="JY286" s="25"/>
      <c r="JZ286" s="25"/>
      <c r="KA286" s="25"/>
      <c r="KB286" s="25"/>
      <c r="KC286" s="25"/>
      <c r="KD286" s="25"/>
      <c r="KE286" s="25"/>
      <c r="KF286" s="25"/>
      <c r="KG286" s="25"/>
      <c r="KH286" s="25"/>
      <c r="KI286" s="25"/>
      <c r="KJ286" s="25"/>
      <c r="KK286" s="25"/>
      <c r="KL286" s="25"/>
      <c r="KM286" s="25"/>
      <c r="KN286" s="25"/>
      <c r="KO286" s="25"/>
      <c r="KP286" s="25"/>
      <c r="KQ286" s="25"/>
      <c r="KR286" s="25"/>
      <c r="KS286" s="25"/>
      <c r="KT286" s="25"/>
      <c r="KU286" s="25"/>
      <c r="KV286" s="25"/>
      <c r="KW286" s="25"/>
      <c r="KX286" s="25"/>
      <c r="KY286" s="25"/>
      <c r="KZ286" s="25"/>
      <c r="LA286" s="25"/>
      <c r="LB286" s="25"/>
      <c r="LC286" s="25"/>
      <c r="LD286" s="25"/>
      <c r="LE286" s="25"/>
      <c r="LF286" s="25"/>
      <c r="LG286" s="25"/>
      <c r="LH286" s="25"/>
      <c r="LI286" s="25"/>
      <c r="LJ286" s="25"/>
      <c r="LK286" s="25"/>
      <c r="LL286" s="25"/>
      <c r="LM286" s="25"/>
      <c r="LN286" s="25"/>
      <c r="LO286" s="25"/>
      <c r="LP286" s="25"/>
      <c r="LQ286" s="25"/>
      <c r="LR286" s="25"/>
      <c r="LS286" s="25"/>
      <c r="LT286" s="25"/>
      <c r="LU286" s="25"/>
      <c r="LV286" s="25"/>
      <c r="LW286" s="25"/>
      <c r="LX286" s="25"/>
      <c r="LY286" s="25"/>
      <c r="LZ286" s="25"/>
      <c r="MA286" s="25"/>
      <c r="MB286" s="25"/>
      <c r="MC286" s="25"/>
      <c r="MD286" s="25"/>
      <c r="ME286" s="25"/>
      <c r="MF286" s="25"/>
      <c r="MG286" s="25"/>
      <c r="MH286" s="25"/>
    </row>
    <row r="287" spans="1:346" s="26" customFormat="1">
      <c r="A287" s="21"/>
      <c r="B287" s="22"/>
      <c r="C287" s="4"/>
      <c r="D287" s="7"/>
      <c r="E287" s="7"/>
      <c r="F287" s="4"/>
      <c r="G287" s="4"/>
      <c r="H287" s="4"/>
      <c r="I287" s="77"/>
      <c r="J287" s="156"/>
      <c r="K287" s="77"/>
      <c r="L287" s="78"/>
      <c r="M287" s="78"/>
      <c r="N287" s="49"/>
      <c r="O287" s="49" t="e">
        <f>IF($E287="posto/hora extra",0,IF(OR(E287="posto/dia",E287="posto/dia líder"),VLOOKUP($C287,'Indicadores Financeiros'!$A$107:$J$119,8,FALSE)+VLOOKUP($C287,'Indicadores Financeiros'!$A$107:$J$119,9,FALSE)+VLOOKUP($C287,'Indicadores Financeiros'!$A$107:$J$119,10,FALSE),IF('Indicadores Financeiros'!$J$91=0,0,(VLOOKUP($C287,'Indicadores Financeiros'!$A$107:$J$119,9,FALSE)+VLOOKUP('Relatório Custo'!$C287,'Indicadores Financeiros'!$A$107:$J$119,10,FALSE)+('Indicadores Financeiros'!$J$87*'Relatório Custo'!$H287)))))</f>
        <v>#N/A</v>
      </c>
      <c r="P287" s="49"/>
      <c r="Q287" s="81"/>
      <c r="R287" s="81"/>
      <c r="S287" s="82"/>
      <c r="T287" s="47"/>
      <c r="U287" s="83"/>
      <c r="V287" s="24"/>
      <c r="W287" s="91"/>
      <c r="X287" s="20"/>
      <c r="Y287" s="114"/>
      <c r="Z287" s="43"/>
      <c r="AA287" s="41"/>
      <c r="AB287" s="25"/>
      <c r="AC287" s="23"/>
      <c r="AD287" s="23"/>
      <c r="AE287" s="154"/>
      <c r="AF287" s="155"/>
      <c r="AG287" s="155"/>
      <c r="AH287" s="31"/>
      <c r="AI287" s="31"/>
      <c r="AJ287" s="31"/>
      <c r="AK287" s="31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  <c r="IV287" s="25"/>
      <c r="IW287" s="25"/>
      <c r="IX287" s="25"/>
      <c r="IY287" s="25"/>
      <c r="IZ287" s="25"/>
      <c r="JA287" s="25"/>
      <c r="JB287" s="25"/>
      <c r="JC287" s="25"/>
      <c r="JD287" s="25"/>
      <c r="JE287" s="25"/>
      <c r="JF287" s="25"/>
      <c r="JG287" s="25"/>
      <c r="JH287" s="25"/>
      <c r="JI287" s="25"/>
      <c r="JJ287" s="25"/>
      <c r="JK287" s="25"/>
      <c r="JL287" s="25"/>
      <c r="JM287" s="25"/>
      <c r="JN287" s="25"/>
      <c r="JO287" s="25"/>
      <c r="JP287" s="25"/>
      <c r="JQ287" s="25"/>
      <c r="JR287" s="25"/>
      <c r="JS287" s="25"/>
      <c r="JT287" s="25"/>
      <c r="JU287" s="25"/>
      <c r="JV287" s="25"/>
      <c r="JW287" s="25"/>
      <c r="JX287" s="25"/>
      <c r="JY287" s="25"/>
      <c r="JZ287" s="25"/>
      <c r="KA287" s="25"/>
      <c r="KB287" s="25"/>
      <c r="KC287" s="25"/>
      <c r="KD287" s="25"/>
      <c r="KE287" s="25"/>
      <c r="KF287" s="25"/>
      <c r="KG287" s="25"/>
      <c r="KH287" s="25"/>
      <c r="KI287" s="25"/>
      <c r="KJ287" s="25"/>
      <c r="KK287" s="25"/>
      <c r="KL287" s="25"/>
      <c r="KM287" s="25"/>
      <c r="KN287" s="25"/>
      <c r="KO287" s="25"/>
      <c r="KP287" s="25"/>
      <c r="KQ287" s="25"/>
      <c r="KR287" s="25"/>
      <c r="KS287" s="25"/>
      <c r="KT287" s="25"/>
      <c r="KU287" s="25"/>
      <c r="KV287" s="25"/>
      <c r="KW287" s="25"/>
      <c r="KX287" s="25"/>
      <c r="KY287" s="25"/>
      <c r="KZ287" s="25"/>
      <c r="LA287" s="25"/>
      <c r="LB287" s="25"/>
      <c r="LC287" s="25"/>
      <c r="LD287" s="25"/>
      <c r="LE287" s="25"/>
      <c r="LF287" s="25"/>
      <c r="LG287" s="25"/>
      <c r="LH287" s="25"/>
      <c r="LI287" s="25"/>
      <c r="LJ287" s="25"/>
      <c r="LK287" s="25"/>
      <c r="LL287" s="25"/>
      <c r="LM287" s="25"/>
      <c r="LN287" s="25"/>
      <c r="LO287" s="25"/>
      <c r="LP287" s="25"/>
      <c r="LQ287" s="25"/>
      <c r="LR287" s="25"/>
      <c r="LS287" s="25"/>
      <c r="LT287" s="25"/>
      <c r="LU287" s="25"/>
      <c r="LV287" s="25"/>
      <c r="LW287" s="25"/>
      <c r="LX287" s="25"/>
      <c r="LY287" s="25"/>
      <c r="LZ287" s="25"/>
      <c r="MA287" s="25"/>
      <c r="MB287" s="25"/>
      <c r="MC287" s="25"/>
      <c r="MD287" s="25"/>
      <c r="ME287" s="25"/>
      <c r="MF287" s="25"/>
      <c r="MG287" s="25"/>
      <c r="MH287" s="25"/>
    </row>
    <row r="288" spans="1:346" s="26" customFormat="1">
      <c r="A288" s="21"/>
      <c r="B288" s="22"/>
      <c r="C288" s="4"/>
      <c r="D288" s="7"/>
      <c r="E288" s="7"/>
      <c r="F288" s="4"/>
      <c r="G288" s="4"/>
      <c r="H288" s="4"/>
      <c r="I288" s="77"/>
      <c r="J288" s="156"/>
      <c r="K288" s="77"/>
      <c r="L288" s="78"/>
      <c r="M288" s="78"/>
      <c r="N288" s="49"/>
      <c r="O288" s="49" t="e">
        <f>IF($E288="posto/hora extra",0,IF(OR(E288="posto/dia",E288="posto/dia líder"),VLOOKUP($C288,'Indicadores Financeiros'!$A$107:$J$119,8,FALSE)+VLOOKUP($C288,'Indicadores Financeiros'!$A$107:$J$119,9,FALSE)+VLOOKUP($C288,'Indicadores Financeiros'!$A$107:$J$119,10,FALSE),IF('Indicadores Financeiros'!$J$91=0,0,(VLOOKUP($C288,'Indicadores Financeiros'!$A$107:$J$119,9,FALSE)+VLOOKUP('Relatório Custo'!$C288,'Indicadores Financeiros'!$A$107:$J$119,10,FALSE)+('Indicadores Financeiros'!$J$87*'Relatório Custo'!$H288)))))</f>
        <v>#N/A</v>
      </c>
      <c r="P288" s="49"/>
      <c r="Q288" s="81"/>
      <c r="R288" s="81"/>
      <c r="S288" s="82"/>
      <c r="T288" s="47"/>
      <c r="U288" s="83"/>
      <c r="V288" s="24"/>
      <c r="W288" s="91"/>
      <c r="X288" s="20"/>
      <c r="Y288" s="114"/>
      <c r="Z288" s="43"/>
      <c r="AA288" s="41"/>
      <c r="AB288" s="25"/>
      <c r="AC288" s="23"/>
      <c r="AD288" s="23"/>
      <c r="AE288" s="154"/>
      <c r="AF288" s="155"/>
      <c r="AG288" s="155"/>
      <c r="AH288" s="31"/>
      <c r="AI288" s="31"/>
      <c r="AJ288" s="31"/>
      <c r="AK288" s="31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  <c r="IV288" s="25"/>
      <c r="IW288" s="25"/>
      <c r="IX288" s="25"/>
      <c r="IY288" s="25"/>
      <c r="IZ288" s="25"/>
      <c r="JA288" s="25"/>
      <c r="JB288" s="25"/>
      <c r="JC288" s="25"/>
      <c r="JD288" s="25"/>
      <c r="JE288" s="25"/>
      <c r="JF288" s="25"/>
      <c r="JG288" s="25"/>
      <c r="JH288" s="25"/>
      <c r="JI288" s="25"/>
      <c r="JJ288" s="25"/>
      <c r="JK288" s="25"/>
      <c r="JL288" s="25"/>
      <c r="JM288" s="25"/>
      <c r="JN288" s="25"/>
      <c r="JO288" s="25"/>
      <c r="JP288" s="25"/>
      <c r="JQ288" s="25"/>
      <c r="JR288" s="25"/>
      <c r="JS288" s="25"/>
      <c r="JT288" s="25"/>
      <c r="JU288" s="25"/>
      <c r="JV288" s="25"/>
      <c r="JW288" s="25"/>
      <c r="JX288" s="25"/>
      <c r="JY288" s="25"/>
      <c r="JZ288" s="25"/>
      <c r="KA288" s="25"/>
      <c r="KB288" s="25"/>
      <c r="KC288" s="25"/>
      <c r="KD288" s="25"/>
      <c r="KE288" s="25"/>
      <c r="KF288" s="25"/>
      <c r="KG288" s="25"/>
      <c r="KH288" s="25"/>
      <c r="KI288" s="25"/>
      <c r="KJ288" s="25"/>
      <c r="KK288" s="25"/>
      <c r="KL288" s="25"/>
      <c r="KM288" s="25"/>
      <c r="KN288" s="25"/>
      <c r="KO288" s="25"/>
      <c r="KP288" s="25"/>
      <c r="KQ288" s="25"/>
      <c r="KR288" s="25"/>
      <c r="KS288" s="25"/>
      <c r="KT288" s="25"/>
      <c r="KU288" s="25"/>
      <c r="KV288" s="25"/>
      <c r="KW288" s="25"/>
      <c r="KX288" s="25"/>
      <c r="KY288" s="25"/>
      <c r="KZ288" s="25"/>
      <c r="LA288" s="25"/>
      <c r="LB288" s="25"/>
      <c r="LC288" s="25"/>
      <c r="LD288" s="25"/>
      <c r="LE288" s="25"/>
      <c r="LF288" s="25"/>
      <c r="LG288" s="25"/>
      <c r="LH288" s="25"/>
      <c r="LI288" s="25"/>
      <c r="LJ288" s="25"/>
      <c r="LK288" s="25"/>
      <c r="LL288" s="25"/>
      <c r="LM288" s="25"/>
      <c r="LN288" s="25"/>
      <c r="LO288" s="25"/>
      <c r="LP288" s="25"/>
      <c r="LQ288" s="25"/>
      <c r="LR288" s="25"/>
      <c r="LS288" s="25"/>
      <c r="LT288" s="25"/>
      <c r="LU288" s="25"/>
      <c r="LV288" s="25"/>
      <c r="LW288" s="25"/>
      <c r="LX288" s="25"/>
      <c r="LY288" s="25"/>
      <c r="LZ288" s="25"/>
      <c r="MA288" s="25"/>
      <c r="MB288" s="25"/>
      <c r="MC288" s="25"/>
      <c r="MD288" s="25"/>
      <c r="ME288" s="25"/>
      <c r="MF288" s="25"/>
      <c r="MG288" s="25"/>
      <c r="MH288" s="25"/>
    </row>
    <row r="289" spans="1:346" s="26" customFormat="1">
      <c r="A289" s="21"/>
      <c r="B289" s="22"/>
      <c r="C289" s="4"/>
      <c r="D289" s="7"/>
      <c r="E289" s="7"/>
      <c r="F289" s="4"/>
      <c r="G289" s="4"/>
      <c r="H289" s="4"/>
      <c r="I289" s="77"/>
      <c r="J289" s="156"/>
      <c r="K289" s="77"/>
      <c r="L289" s="78"/>
      <c r="M289" s="78"/>
      <c r="N289" s="49"/>
      <c r="O289" s="49" t="e">
        <f>IF($E289="posto/hora extra",0,IF(OR(E289="posto/dia",E289="posto/dia líder"),VLOOKUP($C289,'Indicadores Financeiros'!$A$107:$J$119,8,FALSE)+VLOOKUP($C289,'Indicadores Financeiros'!$A$107:$J$119,9,FALSE)+VLOOKUP($C289,'Indicadores Financeiros'!$A$107:$J$119,10,FALSE),IF('Indicadores Financeiros'!$J$91=0,0,(VLOOKUP($C289,'Indicadores Financeiros'!$A$107:$J$119,9,FALSE)+VLOOKUP('Relatório Custo'!$C289,'Indicadores Financeiros'!$A$107:$J$119,10,FALSE)+('Indicadores Financeiros'!$J$87*'Relatório Custo'!$H289)))))</f>
        <v>#N/A</v>
      </c>
      <c r="P289" s="49"/>
      <c r="Q289" s="81"/>
      <c r="R289" s="81"/>
      <c r="S289" s="82"/>
      <c r="T289" s="47"/>
      <c r="U289" s="83"/>
      <c r="V289" s="24"/>
      <c r="W289" s="91"/>
      <c r="X289" s="20"/>
      <c r="Y289" s="114"/>
      <c r="Z289" s="43"/>
      <c r="AA289" s="41"/>
      <c r="AB289" s="25"/>
      <c r="AC289" s="23"/>
      <c r="AD289" s="23"/>
      <c r="AE289" s="154"/>
      <c r="AF289" s="155"/>
      <c r="AG289" s="155"/>
      <c r="AH289" s="31"/>
      <c r="AI289" s="31"/>
      <c r="AJ289" s="31"/>
      <c r="AK289" s="31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  <c r="IV289" s="25"/>
      <c r="IW289" s="25"/>
      <c r="IX289" s="25"/>
      <c r="IY289" s="25"/>
      <c r="IZ289" s="25"/>
      <c r="JA289" s="25"/>
      <c r="JB289" s="25"/>
      <c r="JC289" s="25"/>
      <c r="JD289" s="25"/>
      <c r="JE289" s="25"/>
      <c r="JF289" s="25"/>
      <c r="JG289" s="25"/>
      <c r="JH289" s="25"/>
      <c r="JI289" s="25"/>
      <c r="JJ289" s="25"/>
      <c r="JK289" s="25"/>
      <c r="JL289" s="25"/>
      <c r="JM289" s="25"/>
      <c r="JN289" s="25"/>
      <c r="JO289" s="25"/>
      <c r="JP289" s="25"/>
      <c r="JQ289" s="25"/>
      <c r="JR289" s="25"/>
      <c r="JS289" s="25"/>
      <c r="JT289" s="25"/>
      <c r="JU289" s="25"/>
      <c r="JV289" s="25"/>
      <c r="JW289" s="25"/>
      <c r="JX289" s="25"/>
      <c r="JY289" s="25"/>
      <c r="JZ289" s="25"/>
      <c r="KA289" s="25"/>
      <c r="KB289" s="25"/>
      <c r="KC289" s="25"/>
      <c r="KD289" s="25"/>
      <c r="KE289" s="25"/>
      <c r="KF289" s="25"/>
      <c r="KG289" s="25"/>
      <c r="KH289" s="25"/>
      <c r="KI289" s="25"/>
      <c r="KJ289" s="25"/>
      <c r="KK289" s="25"/>
      <c r="KL289" s="25"/>
      <c r="KM289" s="25"/>
      <c r="KN289" s="25"/>
      <c r="KO289" s="25"/>
      <c r="KP289" s="25"/>
      <c r="KQ289" s="25"/>
      <c r="KR289" s="25"/>
      <c r="KS289" s="25"/>
      <c r="KT289" s="25"/>
      <c r="KU289" s="25"/>
      <c r="KV289" s="25"/>
      <c r="KW289" s="25"/>
      <c r="KX289" s="25"/>
      <c r="KY289" s="25"/>
      <c r="KZ289" s="25"/>
      <c r="LA289" s="25"/>
      <c r="LB289" s="25"/>
      <c r="LC289" s="25"/>
      <c r="LD289" s="25"/>
      <c r="LE289" s="25"/>
      <c r="LF289" s="25"/>
      <c r="LG289" s="25"/>
      <c r="LH289" s="25"/>
      <c r="LI289" s="25"/>
      <c r="LJ289" s="25"/>
      <c r="LK289" s="25"/>
      <c r="LL289" s="25"/>
      <c r="LM289" s="25"/>
      <c r="LN289" s="25"/>
      <c r="LO289" s="25"/>
      <c r="LP289" s="25"/>
      <c r="LQ289" s="25"/>
      <c r="LR289" s="25"/>
      <c r="LS289" s="25"/>
      <c r="LT289" s="25"/>
      <c r="LU289" s="25"/>
      <c r="LV289" s="25"/>
      <c r="LW289" s="25"/>
      <c r="LX289" s="25"/>
      <c r="LY289" s="25"/>
      <c r="LZ289" s="25"/>
      <c r="MA289" s="25"/>
      <c r="MB289" s="25"/>
      <c r="MC289" s="25"/>
      <c r="MD289" s="25"/>
      <c r="ME289" s="25"/>
      <c r="MF289" s="25"/>
      <c r="MG289" s="25"/>
      <c r="MH289" s="25"/>
    </row>
    <row r="290" spans="1:346" s="26" customFormat="1">
      <c r="A290" s="21"/>
      <c r="B290" s="22"/>
      <c r="C290" s="4"/>
      <c r="D290" s="7"/>
      <c r="E290" s="7"/>
      <c r="F290" s="4"/>
      <c r="G290" s="4"/>
      <c r="H290" s="4"/>
      <c r="I290" s="77"/>
      <c r="J290" s="156"/>
      <c r="K290" s="77"/>
      <c r="L290" s="78"/>
      <c r="M290" s="78"/>
      <c r="N290" s="49"/>
      <c r="O290" s="49" t="e">
        <f>IF($E290="posto/hora extra",0,IF(OR(E290="posto/dia",E290="posto/dia líder"),VLOOKUP($C290,'Indicadores Financeiros'!$A$107:$J$119,8,FALSE)+VLOOKUP($C290,'Indicadores Financeiros'!$A$107:$J$119,9,FALSE)+VLOOKUP($C290,'Indicadores Financeiros'!$A$107:$J$119,10,FALSE),IF('Indicadores Financeiros'!$J$91=0,0,(VLOOKUP($C290,'Indicadores Financeiros'!$A$107:$J$119,9,FALSE)+VLOOKUP('Relatório Custo'!$C290,'Indicadores Financeiros'!$A$107:$J$119,10,FALSE)+('Indicadores Financeiros'!$J$87*'Relatório Custo'!$H290)))))</f>
        <v>#N/A</v>
      </c>
      <c r="P290" s="49"/>
      <c r="Q290" s="81"/>
      <c r="R290" s="81"/>
      <c r="S290" s="82"/>
      <c r="T290" s="47"/>
      <c r="U290" s="83"/>
      <c r="V290" s="24"/>
      <c r="W290" s="91"/>
      <c r="X290" s="20"/>
      <c r="Y290" s="114"/>
      <c r="Z290" s="43"/>
      <c r="AA290" s="41"/>
      <c r="AB290" s="25"/>
      <c r="AC290" s="23"/>
      <c r="AD290" s="23"/>
      <c r="AE290" s="154"/>
      <c r="AF290" s="155"/>
      <c r="AG290" s="155"/>
      <c r="AH290" s="31"/>
      <c r="AI290" s="31"/>
      <c r="AJ290" s="31"/>
      <c r="AK290" s="31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  <c r="IV290" s="25"/>
      <c r="IW290" s="25"/>
      <c r="IX290" s="25"/>
      <c r="IY290" s="25"/>
      <c r="IZ290" s="25"/>
      <c r="JA290" s="25"/>
      <c r="JB290" s="25"/>
      <c r="JC290" s="25"/>
      <c r="JD290" s="25"/>
      <c r="JE290" s="25"/>
      <c r="JF290" s="25"/>
      <c r="JG290" s="25"/>
      <c r="JH290" s="25"/>
      <c r="JI290" s="25"/>
      <c r="JJ290" s="25"/>
      <c r="JK290" s="25"/>
      <c r="JL290" s="25"/>
      <c r="JM290" s="25"/>
      <c r="JN290" s="25"/>
      <c r="JO290" s="25"/>
      <c r="JP290" s="25"/>
      <c r="JQ290" s="25"/>
      <c r="JR290" s="25"/>
      <c r="JS290" s="25"/>
      <c r="JT290" s="25"/>
      <c r="JU290" s="25"/>
      <c r="JV290" s="25"/>
      <c r="JW290" s="25"/>
      <c r="JX290" s="25"/>
      <c r="JY290" s="25"/>
      <c r="JZ290" s="25"/>
      <c r="KA290" s="25"/>
      <c r="KB290" s="25"/>
      <c r="KC290" s="25"/>
      <c r="KD290" s="25"/>
      <c r="KE290" s="25"/>
      <c r="KF290" s="25"/>
      <c r="KG290" s="25"/>
      <c r="KH290" s="25"/>
      <c r="KI290" s="25"/>
      <c r="KJ290" s="25"/>
      <c r="KK290" s="25"/>
      <c r="KL290" s="25"/>
      <c r="KM290" s="25"/>
      <c r="KN290" s="25"/>
      <c r="KO290" s="25"/>
      <c r="KP290" s="25"/>
      <c r="KQ290" s="25"/>
      <c r="KR290" s="25"/>
      <c r="KS290" s="25"/>
      <c r="KT290" s="25"/>
      <c r="KU290" s="25"/>
      <c r="KV290" s="25"/>
      <c r="KW290" s="25"/>
      <c r="KX290" s="25"/>
      <c r="KY290" s="25"/>
      <c r="KZ290" s="25"/>
      <c r="LA290" s="25"/>
      <c r="LB290" s="25"/>
      <c r="LC290" s="25"/>
      <c r="LD290" s="25"/>
      <c r="LE290" s="25"/>
      <c r="LF290" s="25"/>
      <c r="LG290" s="25"/>
      <c r="LH290" s="25"/>
      <c r="LI290" s="25"/>
      <c r="LJ290" s="25"/>
      <c r="LK290" s="25"/>
      <c r="LL290" s="25"/>
      <c r="LM290" s="25"/>
      <c r="LN290" s="25"/>
      <c r="LO290" s="25"/>
      <c r="LP290" s="25"/>
      <c r="LQ290" s="25"/>
      <c r="LR290" s="25"/>
      <c r="LS290" s="25"/>
      <c r="LT290" s="25"/>
      <c r="LU290" s="25"/>
      <c r="LV290" s="25"/>
      <c r="LW290" s="25"/>
      <c r="LX290" s="25"/>
      <c r="LY290" s="25"/>
      <c r="LZ290" s="25"/>
      <c r="MA290" s="25"/>
      <c r="MB290" s="25"/>
      <c r="MC290" s="25"/>
      <c r="MD290" s="25"/>
      <c r="ME290" s="25"/>
      <c r="MF290" s="25"/>
      <c r="MG290" s="25"/>
      <c r="MH290" s="25"/>
    </row>
    <row r="291" spans="1:346" s="26" customFormat="1">
      <c r="A291" s="21"/>
      <c r="B291" s="22"/>
      <c r="C291" s="4"/>
      <c r="D291" s="7"/>
      <c r="E291" s="7"/>
      <c r="F291" s="4"/>
      <c r="G291" s="4"/>
      <c r="H291" s="4"/>
      <c r="I291" s="77"/>
      <c r="J291" s="156"/>
      <c r="K291" s="77"/>
      <c r="L291" s="78"/>
      <c r="M291" s="78"/>
      <c r="N291" s="49"/>
      <c r="O291" s="49" t="e">
        <f>IF($E291="posto/hora extra",0,IF(OR(E291="posto/dia",E291="posto/dia líder"),VLOOKUP($C291,'Indicadores Financeiros'!$A$107:$J$119,8,FALSE)+VLOOKUP($C291,'Indicadores Financeiros'!$A$107:$J$119,9,FALSE)+VLOOKUP($C291,'Indicadores Financeiros'!$A$107:$J$119,10,FALSE),IF('Indicadores Financeiros'!$J$91=0,0,(VLOOKUP($C291,'Indicadores Financeiros'!$A$107:$J$119,9,FALSE)+VLOOKUP('Relatório Custo'!$C291,'Indicadores Financeiros'!$A$107:$J$119,10,FALSE)+('Indicadores Financeiros'!$J$87*'Relatório Custo'!$H291)))))</f>
        <v>#N/A</v>
      </c>
      <c r="P291" s="49"/>
      <c r="Q291" s="81"/>
      <c r="R291" s="81"/>
      <c r="S291" s="82"/>
      <c r="T291" s="47"/>
      <c r="U291" s="83"/>
      <c r="V291" s="24"/>
      <c r="W291" s="91"/>
      <c r="X291" s="20"/>
      <c r="Y291" s="114"/>
      <c r="Z291" s="43"/>
      <c r="AA291" s="41"/>
      <c r="AB291" s="25"/>
      <c r="AC291" s="23"/>
      <c r="AD291" s="23"/>
      <c r="AE291" s="154"/>
      <c r="AF291" s="155"/>
      <c r="AG291" s="155"/>
      <c r="AH291" s="31"/>
      <c r="AI291" s="31"/>
      <c r="AJ291" s="31"/>
      <c r="AK291" s="31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  <c r="IV291" s="25"/>
      <c r="IW291" s="25"/>
      <c r="IX291" s="25"/>
      <c r="IY291" s="25"/>
      <c r="IZ291" s="25"/>
      <c r="JA291" s="25"/>
      <c r="JB291" s="25"/>
      <c r="JC291" s="25"/>
      <c r="JD291" s="25"/>
      <c r="JE291" s="25"/>
      <c r="JF291" s="25"/>
      <c r="JG291" s="25"/>
      <c r="JH291" s="25"/>
      <c r="JI291" s="25"/>
      <c r="JJ291" s="25"/>
      <c r="JK291" s="25"/>
      <c r="JL291" s="25"/>
      <c r="JM291" s="25"/>
      <c r="JN291" s="25"/>
      <c r="JO291" s="25"/>
      <c r="JP291" s="25"/>
      <c r="JQ291" s="25"/>
      <c r="JR291" s="25"/>
      <c r="JS291" s="25"/>
      <c r="JT291" s="25"/>
      <c r="JU291" s="25"/>
      <c r="JV291" s="25"/>
      <c r="JW291" s="25"/>
      <c r="JX291" s="25"/>
      <c r="JY291" s="25"/>
      <c r="JZ291" s="25"/>
      <c r="KA291" s="25"/>
      <c r="KB291" s="25"/>
      <c r="KC291" s="25"/>
      <c r="KD291" s="25"/>
      <c r="KE291" s="25"/>
      <c r="KF291" s="25"/>
      <c r="KG291" s="25"/>
      <c r="KH291" s="25"/>
      <c r="KI291" s="25"/>
      <c r="KJ291" s="25"/>
      <c r="KK291" s="25"/>
      <c r="KL291" s="25"/>
      <c r="KM291" s="25"/>
      <c r="KN291" s="25"/>
      <c r="KO291" s="25"/>
      <c r="KP291" s="25"/>
      <c r="KQ291" s="25"/>
      <c r="KR291" s="25"/>
      <c r="KS291" s="25"/>
      <c r="KT291" s="25"/>
      <c r="KU291" s="25"/>
      <c r="KV291" s="25"/>
      <c r="KW291" s="25"/>
      <c r="KX291" s="25"/>
      <c r="KY291" s="25"/>
      <c r="KZ291" s="25"/>
      <c r="LA291" s="25"/>
      <c r="LB291" s="25"/>
      <c r="LC291" s="25"/>
      <c r="LD291" s="25"/>
      <c r="LE291" s="25"/>
      <c r="LF291" s="25"/>
      <c r="LG291" s="25"/>
      <c r="LH291" s="25"/>
      <c r="LI291" s="25"/>
      <c r="LJ291" s="25"/>
      <c r="LK291" s="25"/>
      <c r="LL291" s="25"/>
      <c r="LM291" s="25"/>
      <c r="LN291" s="25"/>
      <c r="LO291" s="25"/>
      <c r="LP291" s="25"/>
      <c r="LQ291" s="25"/>
      <c r="LR291" s="25"/>
      <c r="LS291" s="25"/>
      <c r="LT291" s="25"/>
      <c r="LU291" s="25"/>
      <c r="LV291" s="25"/>
      <c r="LW291" s="25"/>
      <c r="LX291" s="25"/>
      <c r="LY291" s="25"/>
      <c r="LZ291" s="25"/>
      <c r="MA291" s="25"/>
      <c r="MB291" s="25"/>
      <c r="MC291" s="25"/>
      <c r="MD291" s="25"/>
      <c r="ME291" s="25"/>
      <c r="MF291" s="25"/>
      <c r="MG291" s="25"/>
      <c r="MH291" s="25"/>
    </row>
    <row r="292" spans="1:346" s="26" customFormat="1">
      <c r="A292" s="21"/>
      <c r="B292" s="22"/>
      <c r="C292" s="4"/>
      <c r="D292" s="7"/>
      <c r="E292" s="7"/>
      <c r="F292" s="4"/>
      <c r="G292" s="4"/>
      <c r="H292" s="4"/>
      <c r="I292" s="77"/>
      <c r="J292" s="156"/>
      <c r="K292" s="77"/>
      <c r="L292" s="78"/>
      <c r="M292" s="78"/>
      <c r="N292" s="49"/>
      <c r="O292" s="49" t="e">
        <f>IF($E292="posto/hora extra",0,IF(OR(E292="posto/dia",E292="posto/dia líder"),VLOOKUP($C292,'Indicadores Financeiros'!$A$107:$J$119,8,FALSE)+VLOOKUP($C292,'Indicadores Financeiros'!$A$107:$J$119,9,FALSE)+VLOOKUP($C292,'Indicadores Financeiros'!$A$107:$J$119,10,FALSE),IF('Indicadores Financeiros'!$J$91=0,0,(VLOOKUP($C292,'Indicadores Financeiros'!$A$107:$J$119,9,FALSE)+VLOOKUP('Relatório Custo'!$C292,'Indicadores Financeiros'!$A$107:$J$119,10,FALSE)+('Indicadores Financeiros'!$J$87*'Relatório Custo'!$H292)))))</f>
        <v>#N/A</v>
      </c>
      <c r="P292" s="49"/>
      <c r="Q292" s="81"/>
      <c r="R292" s="81"/>
      <c r="S292" s="82"/>
      <c r="T292" s="47"/>
      <c r="U292" s="83"/>
      <c r="V292" s="24"/>
      <c r="W292" s="91"/>
      <c r="X292" s="20"/>
      <c r="Y292" s="114"/>
      <c r="Z292" s="43"/>
      <c r="AA292" s="41"/>
      <c r="AB292" s="25"/>
      <c r="AC292" s="23"/>
      <c r="AD292" s="23"/>
      <c r="AE292" s="154"/>
      <c r="AF292" s="155"/>
      <c r="AG292" s="155"/>
      <c r="AH292" s="31"/>
      <c r="AI292" s="31"/>
      <c r="AJ292" s="31"/>
      <c r="AK292" s="31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  <c r="IV292" s="25"/>
      <c r="IW292" s="25"/>
      <c r="IX292" s="25"/>
      <c r="IY292" s="25"/>
      <c r="IZ292" s="25"/>
      <c r="JA292" s="25"/>
      <c r="JB292" s="25"/>
      <c r="JC292" s="25"/>
      <c r="JD292" s="25"/>
      <c r="JE292" s="25"/>
      <c r="JF292" s="25"/>
      <c r="JG292" s="25"/>
      <c r="JH292" s="25"/>
      <c r="JI292" s="25"/>
      <c r="JJ292" s="25"/>
      <c r="JK292" s="25"/>
      <c r="JL292" s="25"/>
      <c r="JM292" s="25"/>
      <c r="JN292" s="25"/>
      <c r="JO292" s="25"/>
      <c r="JP292" s="25"/>
      <c r="JQ292" s="25"/>
      <c r="JR292" s="25"/>
      <c r="JS292" s="25"/>
      <c r="JT292" s="25"/>
      <c r="JU292" s="25"/>
      <c r="JV292" s="25"/>
      <c r="JW292" s="25"/>
      <c r="JX292" s="25"/>
      <c r="JY292" s="25"/>
      <c r="JZ292" s="25"/>
      <c r="KA292" s="25"/>
      <c r="KB292" s="25"/>
      <c r="KC292" s="25"/>
      <c r="KD292" s="25"/>
      <c r="KE292" s="25"/>
      <c r="KF292" s="25"/>
      <c r="KG292" s="25"/>
      <c r="KH292" s="25"/>
      <c r="KI292" s="25"/>
      <c r="KJ292" s="25"/>
      <c r="KK292" s="25"/>
      <c r="KL292" s="25"/>
      <c r="KM292" s="25"/>
      <c r="KN292" s="25"/>
      <c r="KO292" s="25"/>
      <c r="KP292" s="25"/>
      <c r="KQ292" s="25"/>
      <c r="KR292" s="25"/>
      <c r="KS292" s="25"/>
      <c r="KT292" s="25"/>
      <c r="KU292" s="25"/>
      <c r="KV292" s="25"/>
      <c r="KW292" s="25"/>
      <c r="KX292" s="25"/>
      <c r="KY292" s="25"/>
      <c r="KZ292" s="25"/>
      <c r="LA292" s="25"/>
      <c r="LB292" s="25"/>
      <c r="LC292" s="25"/>
      <c r="LD292" s="25"/>
      <c r="LE292" s="25"/>
      <c r="LF292" s="25"/>
      <c r="LG292" s="25"/>
      <c r="LH292" s="25"/>
      <c r="LI292" s="25"/>
      <c r="LJ292" s="25"/>
      <c r="LK292" s="25"/>
      <c r="LL292" s="25"/>
      <c r="LM292" s="25"/>
      <c r="LN292" s="25"/>
      <c r="LO292" s="25"/>
      <c r="LP292" s="25"/>
      <c r="LQ292" s="25"/>
      <c r="LR292" s="25"/>
      <c r="LS292" s="25"/>
      <c r="LT292" s="25"/>
      <c r="LU292" s="25"/>
      <c r="LV292" s="25"/>
      <c r="LW292" s="25"/>
      <c r="LX292" s="25"/>
      <c r="LY292" s="25"/>
      <c r="LZ292" s="25"/>
      <c r="MA292" s="25"/>
      <c r="MB292" s="25"/>
      <c r="MC292" s="25"/>
      <c r="MD292" s="25"/>
      <c r="ME292" s="25"/>
      <c r="MF292" s="25"/>
      <c r="MG292" s="25"/>
      <c r="MH292" s="25"/>
    </row>
    <row r="293" spans="1:346" s="26" customFormat="1">
      <c r="A293" s="21"/>
      <c r="B293" s="22"/>
      <c r="C293" s="4"/>
      <c r="D293" s="7"/>
      <c r="E293" s="7"/>
      <c r="F293" s="4"/>
      <c r="G293" s="4"/>
      <c r="H293" s="4"/>
      <c r="I293" s="77"/>
      <c r="J293" s="156"/>
      <c r="K293" s="77"/>
      <c r="L293" s="78"/>
      <c r="M293" s="78"/>
      <c r="N293" s="49"/>
      <c r="O293" s="49" t="e">
        <f>IF($E293="posto/hora extra",0,IF(OR(E293="posto/dia",E293="posto/dia líder"),VLOOKUP($C293,'Indicadores Financeiros'!$A$107:$J$119,8,FALSE)+VLOOKUP($C293,'Indicadores Financeiros'!$A$107:$J$119,9,FALSE)+VLOOKUP($C293,'Indicadores Financeiros'!$A$107:$J$119,10,FALSE),IF('Indicadores Financeiros'!$J$91=0,0,(VLOOKUP($C293,'Indicadores Financeiros'!$A$107:$J$119,9,FALSE)+VLOOKUP('Relatório Custo'!$C293,'Indicadores Financeiros'!$A$107:$J$119,10,FALSE)+('Indicadores Financeiros'!$J$87*'Relatório Custo'!$H293)))))</f>
        <v>#N/A</v>
      </c>
      <c r="P293" s="49"/>
      <c r="Q293" s="81"/>
      <c r="R293" s="81"/>
      <c r="S293" s="82"/>
      <c r="T293" s="47"/>
      <c r="U293" s="83"/>
      <c r="V293" s="24"/>
      <c r="W293" s="91"/>
      <c r="X293" s="20"/>
      <c r="Y293" s="114"/>
      <c r="Z293" s="43"/>
      <c r="AA293" s="41"/>
      <c r="AB293" s="25"/>
      <c r="AC293" s="23"/>
      <c r="AD293" s="23"/>
      <c r="AE293" s="154"/>
      <c r="AF293" s="155"/>
      <c r="AG293" s="155"/>
      <c r="AH293" s="31"/>
      <c r="AI293" s="31"/>
      <c r="AJ293" s="31"/>
      <c r="AK293" s="31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  <c r="IV293" s="25"/>
      <c r="IW293" s="25"/>
      <c r="IX293" s="25"/>
      <c r="IY293" s="25"/>
      <c r="IZ293" s="25"/>
      <c r="JA293" s="25"/>
      <c r="JB293" s="25"/>
      <c r="JC293" s="25"/>
      <c r="JD293" s="25"/>
      <c r="JE293" s="25"/>
      <c r="JF293" s="25"/>
      <c r="JG293" s="25"/>
      <c r="JH293" s="25"/>
      <c r="JI293" s="25"/>
      <c r="JJ293" s="25"/>
      <c r="JK293" s="25"/>
      <c r="JL293" s="25"/>
      <c r="JM293" s="25"/>
      <c r="JN293" s="25"/>
      <c r="JO293" s="25"/>
      <c r="JP293" s="25"/>
      <c r="JQ293" s="25"/>
      <c r="JR293" s="25"/>
      <c r="JS293" s="25"/>
      <c r="JT293" s="25"/>
      <c r="JU293" s="25"/>
      <c r="JV293" s="25"/>
      <c r="JW293" s="25"/>
      <c r="JX293" s="25"/>
      <c r="JY293" s="25"/>
      <c r="JZ293" s="25"/>
      <c r="KA293" s="25"/>
      <c r="KB293" s="25"/>
      <c r="KC293" s="25"/>
      <c r="KD293" s="25"/>
      <c r="KE293" s="25"/>
      <c r="KF293" s="25"/>
      <c r="KG293" s="25"/>
      <c r="KH293" s="25"/>
      <c r="KI293" s="25"/>
      <c r="KJ293" s="25"/>
      <c r="KK293" s="25"/>
      <c r="KL293" s="25"/>
      <c r="KM293" s="25"/>
      <c r="KN293" s="25"/>
      <c r="KO293" s="25"/>
      <c r="KP293" s="25"/>
      <c r="KQ293" s="25"/>
      <c r="KR293" s="25"/>
      <c r="KS293" s="25"/>
      <c r="KT293" s="25"/>
      <c r="KU293" s="25"/>
      <c r="KV293" s="25"/>
      <c r="KW293" s="25"/>
      <c r="KX293" s="25"/>
      <c r="KY293" s="25"/>
      <c r="KZ293" s="25"/>
      <c r="LA293" s="25"/>
      <c r="LB293" s="25"/>
      <c r="LC293" s="25"/>
      <c r="LD293" s="25"/>
      <c r="LE293" s="25"/>
      <c r="LF293" s="25"/>
      <c r="LG293" s="25"/>
      <c r="LH293" s="25"/>
      <c r="LI293" s="25"/>
      <c r="LJ293" s="25"/>
      <c r="LK293" s="25"/>
      <c r="LL293" s="25"/>
      <c r="LM293" s="25"/>
      <c r="LN293" s="25"/>
      <c r="LO293" s="25"/>
      <c r="LP293" s="25"/>
      <c r="LQ293" s="25"/>
      <c r="LR293" s="25"/>
      <c r="LS293" s="25"/>
      <c r="LT293" s="25"/>
      <c r="LU293" s="25"/>
      <c r="LV293" s="25"/>
      <c r="LW293" s="25"/>
      <c r="LX293" s="25"/>
      <c r="LY293" s="25"/>
      <c r="LZ293" s="25"/>
      <c r="MA293" s="25"/>
      <c r="MB293" s="25"/>
      <c r="MC293" s="25"/>
      <c r="MD293" s="25"/>
      <c r="ME293" s="25"/>
      <c r="MF293" s="25"/>
      <c r="MG293" s="25"/>
      <c r="MH293" s="25"/>
    </row>
    <row r="294" spans="1:346" s="26" customFormat="1">
      <c r="A294" s="21"/>
      <c r="B294" s="22"/>
      <c r="C294" s="4"/>
      <c r="D294" s="7"/>
      <c r="E294" s="7"/>
      <c r="F294" s="4"/>
      <c r="G294" s="4"/>
      <c r="H294" s="4"/>
      <c r="I294" s="77"/>
      <c r="J294" s="156"/>
      <c r="K294" s="77"/>
      <c r="L294" s="78"/>
      <c r="M294" s="78"/>
      <c r="N294" s="49"/>
      <c r="O294" s="49" t="e">
        <f>IF($E294="posto/hora extra",0,IF(OR(E294="posto/dia",E294="posto/dia líder"),VLOOKUP($C294,'Indicadores Financeiros'!$A$107:$J$119,8,FALSE)+VLOOKUP($C294,'Indicadores Financeiros'!$A$107:$J$119,9,FALSE)+VLOOKUP($C294,'Indicadores Financeiros'!$A$107:$J$119,10,FALSE),IF('Indicadores Financeiros'!$J$91=0,0,(VLOOKUP($C294,'Indicadores Financeiros'!$A$107:$J$119,9,FALSE)+VLOOKUP('Relatório Custo'!$C294,'Indicadores Financeiros'!$A$107:$J$119,10,FALSE)+('Indicadores Financeiros'!$J$87*'Relatório Custo'!$H294)))))</f>
        <v>#N/A</v>
      </c>
      <c r="P294" s="49"/>
      <c r="Q294" s="81"/>
      <c r="R294" s="81"/>
      <c r="S294" s="82"/>
      <c r="T294" s="47"/>
      <c r="U294" s="83"/>
      <c r="V294" s="24"/>
      <c r="W294" s="91"/>
      <c r="X294" s="20"/>
      <c r="Y294" s="114"/>
      <c r="Z294" s="43"/>
      <c r="AA294" s="41"/>
      <c r="AB294" s="25"/>
      <c r="AC294" s="23"/>
      <c r="AD294" s="23"/>
      <c r="AE294" s="154"/>
      <c r="AF294" s="155"/>
      <c r="AG294" s="155"/>
      <c r="AH294" s="31"/>
      <c r="AI294" s="31"/>
      <c r="AJ294" s="31"/>
      <c r="AK294" s="31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  <c r="IV294" s="25"/>
      <c r="IW294" s="25"/>
      <c r="IX294" s="25"/>
      <c r="IY294" s="25"/>
      <c r="IZ294" s="25"/>
      <c r="JA294" s="25"/>
      <c r="JB294" s="25"/>
      <c r="JC294" s="25"/>
      <c r="JD294" s="25"/>
      <c r="JE294" s="25"/>
      <c r="JF294" s="25"/>
      <c r="JG294" s="25"/>
      <c r="JH294" s="25"/>
      <c r="JI294" s="25"/>
      <c r="JJ294" s="25"/>
      <c r="JK294" s="25"/>
      <c r="JL294" s="25"/>
      <c r="JM294" s="25"/>
      <c r="JN294" s="25"/>
      <c r="JO294" s="25"/>
      <c r="JP294" s="25"/>
      <c r="JQ294" s="25"/>
      <c r="JR294" s="25"/>
      <c r="JS294" s="25"/>
      <c r="JT294" s="25"/>
      <c r="JU294" s="25"/>
      <c r="JV294" s="25"/>
      <c r="JW294" s="25"/>
      <c r="JX294" s="25"/>
      <c r="JY294" s="25"/>
      <c r="JZ294" s="25"/>
      <c r="KA294" s="25"/>
      <c r="KB294" s="25"/>
      <c r="KC294" s="25"/>
      <c r="KD294" s="25"/>
      <c r="KE294" s="25"/>
      <c r="KF294" s="25"/>
      <c r="KG294" s="25"/>
      <c r="KH294" s="25"/>
      <c r="KI294" s="25"/>
      <c r="KJ294" s="25"/>
      <c r="KK294" s="25"/>
      <c r="KL294" s="25"/>
      <c r="KM294" s="25"/>
      <c r="KN294" s="25"/>
      <c r="KO294" s="25"/>
      <c r="KP294" s="25"/>
      <c r="KQ294" s="25"/>
      <c r="KR294" s="25"/>
      <c r="KS294" s="25"/>
      <c r="KT294" s="25"/>
      <c r="KU294" s="25"/>
      <c r="KV294" s="25"/>
      <c r="KW294" s="25"/>
      <c r="KX294" s="25"/>
      <c r="KY294" s="25"/>
      <c r="KZ294" s="25"/>
      <c r="LA294" s="25"/>
      <c r="LB294" s="25"/>
      <c r="LC294" s="25"/>
      <c r="LD294" s="25"/>
      <c r="LE294" s="25"/>
      <c r="LF294" s="25"/>
      <c r="LG294" s="25"/>
      <c r="LH294" s="25"/>
      <c r="LI294" s="25"/>
      <c r="LJ294" s="25"/>
      <c r="LK294" s="25"/>
      <c r="LL294" s="25"/>
      <c r="LM294" s="25"/>
      <c r="LN294" s="25"/>
      <c r="LO294" s="25"/>
      <c r="LP294" s="25"/>
      <c r="LQ294" s="25"/>
      <c r="LR294" s="25"/>
      <c r="LS294" s="25"/>
      <c r="LT294" s="25"/>
      <c r="LU294" s="25"/>
      <c r="LV294" s="25"/>
      <c r="LW294" s="25"/>
      <c r="LX294" s="25"/>
      <c r="LY294" s="25"/>
      <c r="LZ294" s="25"/>
      <c r="MA294" s="25"/>
      <c r="MB294" s="25"/>
      <c r="MC294" s="25"/>
      <c r="MD294" s="25"/>
      <c r="ME294" s="25"/>
      <c r="MF294" s="25"/>
      <c r="MG294" s="25"/>
      <c r="MH294" s="25"/>
    </row>
    <row r="295" spans="1:346" s="26" customFormat="1">
      <c r="A295" s="21"/>
      <c r="B295" s="22"/>
      <c r="C295" s="4"/>
      <c r="D295" s="7"/>
      <c r="E295" s="7"/>
      <c r="F295" s="4"/>
      <c r="G295" s="4"/>
      <c r="H295" s="4"/>
      <c r="I295" s="77"/>
      <c r="J295" s="156"/>
      <c r="K295" s="77"/>
      <c r="L295" s="78"/>
      <c r="M295" s="78"/>
      <c r="N295" s="49"/>
      <c r="O295" s="49" t="e">
        <f>IF($E295="posto/hora extra",0,IF(OR(E295="posto/dia",E295="posto/dia líder"),VLOOKUP($C295,'Indicadores Financeiros'!$A$107:$J$119,8,FALSE)+VLOOKUP($C295,'Indicadores Financeiros'!$A$107:$J$119,9,FALSE)+VLOOKUP($C295,'Indicadores Financeiros'!$A$107:$J$119,10,FALSE),IF('Indicadores Financeiros'!$J$91=0,0,(VLOOKUP($C295,'Indicadores Financeiros'!$A$107:$J$119,9,FALSE)+VLOOKUP('Relatório Custo'!$C295,'Indicadores Financeiros'!$A$107:$J$119,10,FALSE)+('Indicadores Financeiros'!$J$87*'Relatório Custo'!$H295)))))</f>
        <v>#N/A</v>
      </c>
      <c r="P295" s="49"/>
      <c r="Q295" s="81"/>
      <c r="R295" s="81"/>
      <c r="S295" s="82"/>
      <c r="T295" s="47"/>
      <c r="U295" s="83"/>
      <c r="V295" s="24"/>
      <c r="W295" s="91"/>
      <c r="X295" s="20"/>
      <c r="Y295" s="114"/>
      <c r="Z295" s="43"/>
      <c r="AA295" s="41"/>
      <c r="AB295" s="25"/>
      <c r="AC295" s="23"/>
      <c r="AD295" s="23"/>
      <c r="AE295" s="154"/>
      <c r="AF295" s="155"/>
      <c r="AG295" s="155"/>
      <c r="AH295" s="31"/>
      <c r="AI295" s="31"/>
      <c r="AJ295" s="31"/>
      <c r="AK295" s="31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  <c r="IV295" s="25"/>
      <c r="IW295" s="25"/>
      <c r="IX295" s="25"/>
      <c r="IY295" s="25"/>
      <c r="IZ295" s="25"/>
      <c r="JA295" s="25"/>
      <c r="JB295" s="25"/>
      <c r="JC295" s="25"/>
      <c r="JD295" s="25"/>
      <c r="JE295" s="25"/>
      <c r="JF295" s="25"/>
      <c r="JG295" s="25"/>
      <c r="JH295" s="25"/>
      <c r="JI295" s="25"/>
      <c r="JJ295" s="25"/>
      <c r="JK295" s="25"/>
      <c r="JL295" s="25"/>
      <c r="JM295" s="25"/>
      <c r="JN295" s="25"/>
      <c r="JO295" s="25"/>
      <c r="JP295" s="25"/>
      <c r="JQ295" s="25"/>
      <c r="JR295" s="25"/>
      <c r="JS295" s="25"/>
      <c r="JT295" s="25"/>
      <c r="JU295" s="25"/>
      <c r="JV295" s="25"/>
      <c r="JW295" s="25"/>
      <c r="JX295" s="25"/>
      <c r="JY295" s="25"/>
      <c r="JZ295" s="25"/>
      <c r="KA295" s="25"/>
      <c r="KB295" s="25"/>
      <c r="KC295" s="25"/>
      <c r="KD295" s="25"/>
      <c r="KE295" s="25"/>
      <c r="KF295" s="25"/>
      <c r="KG295" s="25"/>
      <c r="KH295" s="25"/>
      <c r="KI295" s="25"/>
      <c r="KJ295" s="25"/>
      <c r="KK295" s="25"/>
      <c r="KL295" s="25"/>
      <c r="KM295" s="25"/>
      <c r="KN295" s="25"/>
      <c r="KO295" s="25"/>
      <c r="KP295" s="25"/>
      <c r="KQ295" s="25"/>
      <c r="KR295" s="25"/>
      <c r="KS295" s="25"/>
      <c r="KT295" s="25"/>
      <c r="KU295" s="25"/>
      <c r="KV295" s="25"/>
      <c r="KW295" s="25"/>
      <c r="KX295" s="25"/>
      <c r="KY295" s="25"/>
      <c r="KZ295" s="25"/>
      <c r="LA295" s="25"/>
      <c r="LB295" s="25"/>
      <c r="LC295" s="25"/>
      <c r="LD295" s="25"/>
      <c r="LE295" s="25"/>
      <c r="LF295" s="25"/>
      <c r="LG295" s="25"/>
      <c r="LH295" s="25"/>
      <c r="LI295" s="25"/>
      <c r="LJ295" s="25"/>
      <c r="LK295" s="25"/>
      <c r="LL295" s="25"/>
      <c r="LM295" s="25"/>
      <c r="LN295" s="25"/>
      <c r="LO295" s="25"/>
      <c r="LP295" s="25"/>
      <c r="LQ295" s="25"/>
      <c r="LR295" s="25"/>
      <c r="LS295" s="25"/>
      <c r="LT295" s="25"/>
      <c r="LU295" s="25"/>
      <c r="LV295" s="25"/>
      <c r="LW295" s="25"/>
      <c r="LX295" s="25"/>
      <c r="LY295" s="25"/>
      <c r="LZ295" s="25"/>
      <c r="MA295" s="25"/>
      <c r="MB295" s="25"/>
      <c r="MC295" s="25"/>
      <c r="MD295" s="25"/>
      <c r="ME295" s="25"/>
      <c r="MF295" s="25"/>
      <c r="MG295" s="25"/>
      <c r="MH295" s="25"/>
    </row>
    <row r="296" spans="1:346" s="26" customFormat="1">
      <c r="A296" s="21"/>
      <c r="B296" s="22"/>
      <c r="C296" s="4"/>
      <c r="D296" s="7"/>
      <c r="E296" s="7"/>
      <c r="F296" s="4"/>
      <c r="G296" s="4"/>
      <c r="H296" s="4"/>
      <c r="I296" s="77"/>
      <c r="J296" s="156"/>
      <c r="K296" s="77"/>
      <c r="L296" s="78"/>
      <c r="M296" s="78"/>
      <c r="N296" s="49"/>
      <c r="O296" s="49" t="e">
        <f>IF($E296="posto/hora extra",0,IF(OR(E296="posto/dia",E296="posto/dia líder"),VLOOKUP($C296,'Indicadores Financeiros'!$A$107:$J$119,8,FALSE)+VLOOKUP($C296,'Indicadores Financeiros'!$A$107:$J$119,9,FALSE)+VLOOKUP($C296,'Indicadores Financeiros'!$A$107:$J$119,10,FALSE),IF('Indicadores Financeiros'!$J$91=0,0,(VLOOKUP($C296,'Indicadores Financeiros'!$A$107:$J$119,9,FALSE)+VLOOKUP('Relatório Custo'!$C296,'Indicadores Financeiros'!$A$107:$J$119,10,FALSE)+('Indicadores Financeiros'!$J$87*'Relatório Custo'!$H296)))))</f>
        <v>#N/A</v>
      </c>
      <c r="P296" s="49"/>
      <c r="Q296" s="81"/>
      <c r="R296" s="81"/>
      <c r="S296" s="82"/>
      <c r="T296" s="47"/>
      <c r="U296" s="83"/>
      <c r="V296" s="24"/>
      <c r="W296" s="91"/>
      <c r="X296" s="20"/>
      <c r="Y296" s="114"/>
      <c r="Z296" s="43"/>
      <c r="AA296" s="41"/>
      <c r="AB296" s="25"/>
      <c r="AC296" s="23"/>
      <c r="AD296" s="23"/>
      <c r="AE296" s="154"/>
      <c r="AF296" s="155"/>
      <c r="AG296" s="155"/>
      <c r="AH296" s="31"/>
      <c r="AI296" s="31"/>
      <c r="AJ296" s="31"/>
      <c r="AK296" s="31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  <c r="IV296" s="25"/>
      <c r="IW296" s="25"/>
      <c r="IX296" s="25"/>
      <c r="IY296" s="25"/>
      <c r="IZ296" s="25"/>
      <c r="JA296" s="25"/>
      <c r="JB296" s="25"/>
      <c r="JC296" s="25"/>
      <c r="JD296" s="25"/>
      <c r="JE296" s="25"/>
      <c r="JF296" s="25"/>
      <c r="JG296" s="25"/>
      <c r="JH296" s="25"/>
      <c r="JI296" s="25"/>
      <c r="JJ296" s="25"/>
      <c r="JK296" s="25"/>
      <c r="JL296" s="25"/>
      <c r="JM296" s="25"/>
      <c r="JN296" s="25"/>
      <c r="JO296" s="25"/>
      <c r="JP296" s="25"/>
      <c r="JQ296" s="25"/>
      <c r="JR296" s="25"/>
      <c r="JS296" s="25"/>
      <c r="JT296" s="25"/>
      <c r="JU296" s="25"/>
      <c r="JV296" s="25"/>
      <c r="JW296" s="25"/>
      <c r="JX296" s="25"/>
      <c r="JY296" s="25"/>
      <c r="JZ296" s="25"/>
      <c r="KA296" s="25"/>
      <c r="KB296" s="25"/>
      <c r="KC296" s="25"/>
      <c r="KD296" s="25"/>
      <c r="KE296" s="25"/>
      <c r="KF296" s="25"/>
      <c r="KG296" s="25"/>
      <c r="KH296" s="25"/>
      <c r="KI296" s="25"/>
      <c r="KJ296" s="25"/>
      <c r="KK296" s="25"/>
      <c r="KL296" s="25"/>
      <c r="KM296" s="25"/>
      <c r="KN296" s="25"/>
      <c r="KO296" s="25"/>
      <c r="KP296" s="25"/>
      <c r="KQ296" s="25"/>
      <c r="KR296" s="25"/>
      <c r="KS296" s="25"/>
      <c r="KT296" s="25"/>
      <c r="KU296" s="25"/>
      <c r="KV296" s="25"/>
      <c r="KW296" s="25"/>
      <c r="KX296" s="25"/>
      <c r="KY296" s="25"/>
      <c r="KZ296" s="25"/>
      <c r="LA296" s="25"/>
      <c r="LB296" s="25"/>
      <c r="LC296" s="25"/>
      <c r="LD296" s="25"/>
      <c r="LE296" s="25"/>
      <c r="LF296" s="25"/>
      <c r="LG296" s="25"/>
      <c r="LH296" s="25"/>
      <c r="LI296" s="25"/>
      <c r="LJ296" s="25"/>
      <c r="LK296" s="25"/>
      <c r="LL296" s="25"/>
      <c r="LM296" s="25"/>
      <c r="LN296" s="25"/>
      <c r="LO296" s="25"/>
      <c r="LP296" s="25"/>
      <c r="LQ296" s="25"/>
      <c r="LR296" s="25"/>
      <c r="LS296" s="25"/>
      <c r="LT296" s="25"/>
      <c r="LU296" s="25"/>
      <c r="LV296" s="25"/>
      <c r="LW296" s="25"/>
      <c r="LX296" s="25"/>
      <c r="LY296" s="25"/>
      <c r="LZ296" s="25"/>
      <c r="MA296" s="25"/>
      <c r="MB296" s="25"/>
      <c r="MC296" s="25"/>
      <c r="MD296" s="25"/>
      <c r="ME296" s="25"/>
      <c r="MF296" s="25"/>
      <c r="MG296" s="25"/>
      <c r="MH296" s="25"/>
    </row>
    <row r="297" spans="1:346" s="26" customFormat="1">
      <c r="A297" s="21"/>
      <c r="B297" s="22"/>
      <c r="C297" s="4"/>
      <c r="D297" s="7"/>
      <c r="E297" s="7"/>
      <c r="F297" s="4"/>
      <c r="G297" s="4"/>
      <c r="H297" s="4"/>
      <c r="I297" s="77"/>
      <c r="J297" s="156"/>
      <c r="K297" s="77"/>
      <c r="L297" s="78"/>
      <c r="M297" s="78"/>
      <c r="N297" s="49"/>
      <c r="O297" s="49" t="e">
        <f>IF($E297="posto/hora extra",0,IF(OR(E297="posto/dia",E297="posto/dia líder"),VLOOKUP($C297,'Indicadores Financeiros'!$A$107:$J$119,8,FALSE)+VLOOKUP($C297,'Indicadores Financeiros'!$A$107:$J$119,9,FALSE)+VLOOKUP($C297,'Indicadores Financeiros'!$A$107:$J$119,10,FALSE),IF('Indicadores Financeiros'!$J$91=0,0,(VLOOKUP($C297,'Indicadores Financeiros'!$A$107:$J$119,9,FALSE)+VLOOKUP('Relatório Custo'!$C297,'Indicadores Financeiros'!$A$107:$J$119,10,FALSE)+('Indicadores Financeiros'!$J$87*'Relatório Custo'!$H297)))))</f>
        <v>#N/A</v>
      </c>
      <c r="P297" s="49"/>
      <c r="Q297" s="81"/>
      <c r="R297" s="81"/>
      <c r="S297" s="82"/>
      <c r="T297" s="47"/>
      <c r="U297" s="83"/>
      <c r="V297" s="24"/>
      <c r="W297" s="91"/>
      <c r="X297" s="20"/>
      <c r="Y297" s="114"/>
      <c r="Z297" s="43"/>
      <c r="AA297" s="41"/>
      <c r="AB297" s="25"/>
      <c r="AC297" s="23"/>
      <c r="AD297" s="23"/>
      <c r="AE297" s="154"/>
      <c r="AF297" s="155"/>
      <c r="AG297" s="155"/>
      <c r="AH297" s="31"/>
      <c r="AI297" s="31"/>
      <c r="AJ297" s="31"/>
      <c r="AK297" s="31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  <c r="IV297" s="25"/>
      <c r="IW297" s="25"/>
      <c r="IX297" s="25"/>
      <c r="IY297" s="25"/>
      <c r="IZ297" s="25"/>
      <c r="JA297" s="25"/>
      <c r="JB297" s="25"/>
      <c r="JC297" s="25"/>
      <c r="JD297" s="25"/>
      <c r="JE297" s="25"/>
      <c r="JF297" s="25"/>
      <c r="JG297" s="25"/>
      <c r="JH297" s="25"/>
      <c r="JI297" s="25"/>
      <c r="JJ297" s="25"/>
      <c r="JK297" s="25"/>
      <c r="JL297" s="25"/>
      <c r="JM297" s="25"/>
      <c r="JN297" s="25"/>
      <c r="JO297" s="25"/>
      <c r="JP297" s="25"/>
      <c r="JQ297" s="25"/>
      <c r="JR297" s="25"/>
      <c r="JS297" s="25"/>
      <c r="JT297" s="25"/>
      <c r="JU297" s="25"/>
      <c r="JV297" s="25"/>
      <c r="JW297" s="25"/>
      <c r="JX297" s="25"/>
      <c r="JY297" s="25"/>
      <c r="JZ297" s="25"/>
      <c r="KA297" s="25"/>
      <c r="KB297" s="25"/>
      <c r="KC297" s="25"/>
      <c r="KD297" s="25"/>
      <c r="KE297" s="25"/>
      <c r="KF297" s="25"/>
      <c r="KG297" s="25"/>
      <c r="KH297" s="25"/>
      <c r="KI297" s="25"/>
      <c r="KJ297" s="25"/>
      <c r="KK297" s="25"/>
      <c r="KL297" s="25"/>
      <c r="KM297" s="25"/>
      <c r="KN297" s="25"/>
      <c r="KO297" s="25"/>
      <c r="KP297" s="25"/>
      <c r="KQ297" s="25"/>
      <c r="KR297" s="25"/>
      <c r="KS297" s="25"/>
      <c r="KT297" s="25"/>
      <c r="KU297" s="25"/>
      <c r="KV297" s="25"/>
      <c r="KW297" s="25"/>
      <c r="KX297" s="25"/>
      <c r="KY297" s="25"/>
      <c r="KZ297" s="25"/>
      <c r="LA297" s="25"/>
      <c r="LB297" s="25"/>
      <c r="LC297" s="25"/>
      <c r="LD297" s="25"/>
      <c r="LE297" s="25"/>
      <c r="LF297" s="25"/>
      <c r="LG297" s="25"/>
      <c r="LH297" s="25"/>
      <c r="LI297" s="25"/>
      <c r="LJ297" s="25"/>
      <c r="LK297" s="25"/>
      <c r="LL297" s="25"/>
      <c r="LM297" s="25"/>
      <c r="LN297" s="25"/>
      <c r="LO297" s="25"/>
      <c r="LP297" s="25"/>
      <c r="LQ297" s="25"/>
      <c r="LR297" s="25"/>
      <c r="LS297" s="25"/>
      <c r="LT297" s="25"/>
      <c r="LU297" s="25"/>
      <c r="LV297" s="25"/>
      <c r="LW297" s="25"/>
      <c r="LX297" s="25"/>
      <c r="LY297" s="25"/>
      <c r="LZ297" s="25"/>
      <c r="MA297" s="25"/>
      <c r="MB297" s="25"/>
      <c r="MC297" s="25"/>
      <c r="MD297" s="25"/>
      <c r="ME297" s="25"/>
      <c r="MF297" s="25"/>
      <c r="MG297" s="25"/>
      <c r="MH297" s="25"/>
    </row>
    <row r="298" spans="1:346" s="26" customFormat="1">
      <c r="A298" s="21"/>
      <c r="B298" s="22"/>
      <c r="C298" s="4"/>
      <c r="D298" s="7"/>
      <c r="E298" s="7"/>
      <c r="F298" s="4"/>
      <c r="G298" s="4"/>
      <c r="H298" s="4"/>
      <c r="I298" s="77"/>
      <c r="J298" s="156"/>
      <c r="K298" s="77"/>
      <c r="L298" s="78"/>
      <c r="M298" s="78"/>
      <c r="N298" s="49"/>
      <c r="O298" s="49" t="e">
        <f>IF($E298="posto/hora extra",0,IF(OR(E298="posto/dia",E298="posto/dia líder"),VLOOKUP($C298,'Indicadores Financeiros'!$A$107:$J$119,8,FALSE)+VLOOKUP($C298,'Indicadores Financeiros'!$A$107:$J$119,9,FALSE)+VLOOKUP($C298,'Indicadores Financeiros'!$A$107:$J$119,10,FALSE),IF('Indicadores Financeiros'!$J$91=0,0,(VLOOKUP($C298,'Indicadores Financeiros'!$A$107:$J$119,9,FALSE)+VLOOKUP('Relatório Custo'!$C298,'Indicadores Financeiros'!$A$107:$J$119,10,FALSE)+('Indicadores Financeiros'!$J$87*'Relatório Custo'!$H298)))))</f>
        <v>#N/A</v>
      </c>
      <c r="P298" s="49"/>
      <c r="Q298" s="81"/>
      <c r="R298" s="81"/>
      <c r="S298" s="82"/>
      <c r="T298" s="47"/>
      <c r="U298" s="83"/>
      <c r="V298" s="24"/>
      <c r="W298" s="91"/>
      <c r="X298" s="20"/>
      <c r="Y298" s="114"/>
      <c r="Z298" s="43"/>
      <c r="AA298" s="41"/>
      <c r="AB298" s="25"/>
      <c r="AC298" s="23"/>
      <c r="AD298" s="23"/>
      <c r="AE298" s="154"/>
      <c r="AF298" s="155"/>
      <c r="AG298" s="155"/>
      <c r="AH298" s="31"/>
      <c r="AI298" s="31"/>
      <c r="AJ298" s="31"/>
      <c r="AK298" s="31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  <c r="IW298" s="25"/>
      <c r="IX298" s="25"/>
      <c r="IY298" s="25"/>
      <c r="IZ298" s="25"/>
      <c r="JA298" s="25"/>
      <c r="JB298" s="25"/>
      <c r="JC298" s="25"/>
      <c r="JD298" s="25"/>
      <c r="JE298" s="25"/>
      <c r="JF298" s="25"/>
      <c r="JG298" s="25"/>
      <c r="JH298" s="25"/>
      <c r="JI298" s="25"/>
      <c r="JJ298" s="25"/>
      <c r="JK298" s="25"/>
      <c r="JL298" s="25"/>
      <c r="JM298" s="25"/>
      <c r="JN298" s="25"/>
      <c r="JO298" s="25"/>
      <c r="JP298" s="25"/>
      <c r="JQ298" s="25"/>
      <c r="JR298" s="25"/>
      <c r="JS298" s="25"/>
      <c r="JT298" s="25"/>
      <c r="JU298" s="25"/>
      <c r="JV298" s="25"/>
      <c r="JW298" s="25"/>
      <c r="JX298" s="25"/>
      <c r="JY298" s="25"/>
      <c r="JZ298" s="25"/>
      <c r="KA298" s="25"/>
      <c r="KB298" s="25"/>
      <c r="KC298" s="25"/>
      <c r="KD298" s="25"/>
      <c r="KE298" s="25"/>
      <c r="KF298" s="25"/>
      <c r="KG298" s="25"/>
      <c r="KH298" s="25"/>
      <c r="KI298" s="25"/>
      <c r="KJ298" s="25"/>
      <c r="KK298" s="25"/>
      <c r="KL298" s="25"/>
      <c r="KM298" s="25"/>
      <c r="KN298" s="25"/>
      <c r="KO298" s="25"/>
      <c r="KP298" s="25"/>
      <c r="KQ298" s="25"/>
      <c r="KR298" s="25"/>
      <c r="KS298" s="25"/>
      <c r="KT298" s="25"/>
      <c r="KU298" s="25"/>
      <c r="KV298" s="25"/>
      <c r="KW298" s="25"/>
      <c r="KX298" s="25"/>
      <c r="KY298" s="25"/>
      <c r="KZ298" s="25"/>
      <c r="LA298" s="25"/>
      <c r="LB298" s="25"/>
      <c r="LC298" s="25"/>
      <c r="LD298" s="25"/>
      <c r="LE298" s="25"/>
      <c r="LF298" s="25"/>
      <c r="LG298" s="25"/>
      <c r="LH298" s="25"/>
      <c r="LI298" s="25"/>
      <c r="LJ298" s="25"/>
      <c r="LK298" s="25"/>
      <c r="LL298" s="25"/>
      <c r="LM298" s="25"/>
      <c r="LN298" s="25"/>
      <c r="LO298" s="25"/>
      <c r="LP298" s="25"/>
      <c r="LQ298" s="25"/>
      <c r="LR298" s="25"/>
      <c r="LS298" s="25"/>
      <c r="LT298" s="25"/>
      <c r="LU298" s="25"/>
      <c r="LV298" s="25"/>
      <c r="LW298" s="25"/>
      <c r="LX298" s="25"/>
      <c r="LY298" s="25"/>
      <c r="LZ298" s="25"/>
      <c r="MA298" s="25"/>
      <c r="MB298" s="25"/>
      <c r="MC298" s="25"/>
      <c r="MD298" s="25"/>
      <c r="ME298" s="25"/>
      <c r="MF298" s="25"/>
      <c r="MG298" s="25"/>
      <c r="MH298" s="25"/>
    </row>
    <row r="299" spans="1:346" s="26" customFormat="1">
      <c r="A299" s="21"/>
      <c r="B299" s="22"/>
      <c r="C299" s="4"/>
      <c r="D299" s="7"/>
      <c r="E299" s="7"/>
      <c r="F299" s="4"/>
      <c r="G299" s="4"/>
      <c r="H299" s="4"/>
      <c r="I299" s="77"/>
      <c r="J299" s="156"/>
      <c r="K299" s="77"/>
      <c r="L299" s="78"/>
      <c r="M299" s="78"/>
      <c r="N299" s="49"/>
      <c r="O299" s="49" t="e">
        <f>IF($E299="posto/hora extra",0,IF(OR(E299="posto/dia",E299="posto/dia líder"),VLOOKUP($C299,'Indicadores Financeiros'!$A$107:$J$119,8,FALSE)+VLOOKUP($C299,'Indicadores Financeiros'!$A$107:$J$119,9,FALSE)+VLOOKUP($C299,'Indicadores Financeiros'!$A$107:$J$119,10,FALSE),IF('Indicadores Financeiros'!$J$91=0,0,(VLOOKUP($C299,'Indicadores Financeiros'!$A$107:$J$119,9,FALSE)+VLOOKUP('Relatório Custo'!$C299,'Indicadores Financeiros'!$A$107:$J$119,10,FALSE)+('Indicadores Financeiros'!$J$87*'Relatório Custo'!$H299)))))</f>
        <v>#N/A</v>
      </c>
      <c r="P299" s="49"/>
      <c r="Q299" s="81"/>
      <c r="R299" s="81"/>
      <c r="S299" s="82"/>
      <c r="T299" s="47"/>
      <c r="U299" s="83"/>
      <c r="V299" s="24"/>
      <c r="W299" s="91"/>
      <c r="X299" s="20"/>
      <c r="Y299" s="114"/>
      <c r="Z299" s="43"/>
      <c r="AA299" s="41"/>
      <c r="AB299" s="25"/>
      <c r="AC299" s="23"/>
      <c r="AD299" s="23"/>
      <c r="AE299" s="154"/>
      <c r="AF299" s="155"/>
      <c r="AG299" s="155"/>
      <c r="AH299" s="31"/>
      <c r="AI299" s="31"/>
      <c r="AJ299" s="31"/>
      <c r="AK299" s="31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  <c r="IV299" s="25"/>
      <c r="IW299" s="25"/>
      <c r="IX299" s="25"/>
      <c r="IY299" s="25"/>
      <c r="IZ299" s="25"/>
      <c r="JA299" s="25"/>
      <c r="JB299" s="25"/>
      <c r="JC299" s="25"/>
      <c r="JD299" s="25"/>
      <c r="JE299" s="25"/>
      <c r="JF299" s="25"/>
      <c r="JG299" s="25"/>
      <c r="JH299" s="25"/>
      <c r="JI299" s="25"/>
      <c r="JJ299" s="25"/>
      <c r="JK299" s="25"/>
      <c r="JL299" s="25"/>
      <c r="JM299" s="25"/>
      <c r="JN299" s="25"/>
      <c r="JO299" s="25"/>
      <c r="JP299" s="25"/>
      <c r="JQ299" s="25"/>
      <c r="JR299" s="25"/>
      <c r="JS299" s="25"/>
      <c r="JT299" s="25"/>
      <c r="JU299" s="25"/>
      <c r="JV299" s="25"/>
      <c r="JW299" s="25"/>
      <c r="JX299" s="25"/>
      <c r="JY299" s="25"/>
      <c r="JZ299" s="25"/>
      <c r="KA299" s="25"/>
      <c r="KB299" s="25"/>
      <c r="KC299" s="25"/>
      <c r="KD299" s="25"/>
      <c r="KE299" s="25"/>
      <c r="KF299" s="25"/>
      <c r="KG299" s="25"/>
      <c r="KH299" s="25"/>
      <c r="KI299" s="25"/>
      <c r="KJ299" s="25"/>
      <c r="KK299" s="25"/>
      <c r="KL299" s="25"/>
      <c r="KM299" s="25"/>
      <c r="KN299" s="25"/>
      <c r="KO299" s="25"/>
      <c r="KP299" s="25"/>
      <c r="KQ299" s="25"/>
      <c r="KR299" s="25"/>
      <c r="KS299" s="25"/>
      <c r="KT299" s="25"/>
      <c r="KU299" s="25"/>
      <c r="KV299" s="25"/>
      <c r="KW299" s="25"/>
      <c r="KX299" s="25"/>
      <c r="KY299" s="25"/>
      <c r="KZ299" s="25"/>
      <c r="LA299" s="25"/>
      <c r="LB299" s="25"/>
      <c r="LC299" s="25"/>
      <c r="LD299" s="25"/>
      <c r="LE299" s="25"/>
      <c r="LF299" s="25"/>
      <c r="LG299" s="25"/>
      <c r="LH299" s="25"/>
      <c r="LI299" s="25"/>
      <c r="LJ299" s="25"/>
      <c r="LK299" s="25"/>
      <c r="LL299" s="25"/>
      <c r="LM299" s="25"/>
      <c r="LN299" s="25"/>
      <c r="LO299" s="25"/>
      <c r="LP299" s="25"/>
      <c r="LQ299" s="25"/>
      <c r="LR299" s="25"/>
      <c r="LS299" s="25"/>
      <c r="LT299" s="25"/>
      <c r="LU299" s="25"/>
      <c r="LV299" s="25"/>
      <c r="LW299" s="25"/>
      <c r="LX299" s="25"/>
      <c r="LY299" s="25"/>
      <c r="LZ299" s="25"/>
      <c r="MA299" s="25"/>
      <c r="MB299" s="25"/>
      <c r="MC299" s="25"/>
      <c r="MD299" s="25"/>
      <c r="ME299" s="25"/>
      <c r="MF299" s="25"/>
      <c r="MG299" s="25"/>
      <c r="MH299" s="25"/>
    </row>
    <row r="300" spans="1:346" s="26" customFormat="1">
      <c r="A300" s="21"/>
      <c r="B300" s="22"/>
      <c r="C300" s="4"/>
      <c r="D300" s="7"/>
      <c r="E300" s="7"/>
      <c r="F300" s="4"/>
      <c r="G300" s="4"/>
      <c r="H300" s="4"/>
      <c r="I300" s="77"/>
      <c r="J300" s="156"/>
      <c r="K300" s="77"/>
      <c r="L300" s="78"/>
      <c r="M300" s="78"/>
      <c r="N300" s="49"/>
      <c r="O300" s="49" t="e">
        <f>IF($E300="posto/hora extra",0,IF(OR(E300="posto/dia",E300="posto/dia líder"),VLOOKUP($C300,'Indicadores Financeiros'!$A$107:$J$119,8,FALSE)+VLOOKUP($C300,'Indicadores Financeiros'!$A$107:$J$119,9,FALSE)+VLOOKUP($C300,'Indicadores Financeiros'!$A$107:$J$119,10,FALSE),IF('Indicadores Financeiros'!$J$91=0,0,(VLOOKUP($C300,'Indicadores Financeiros'!$A$107:$J$119,9,FALSE)+VLOOKUP('Relatório Custo'!$C300,'Indicadores Financeiros'!$A$107:$J$119,10,FALSE)+('Indicadores Financeiros'!$J$87*'Relatório Custo'!$H300)))))</f>
        <v>#N/A</v>
      </c>
      <c r="P300" s="49"/>
      <c r="Q300" s="81"/>
      <c r="R300" s="81"/>
      <c r="S300" s="82"/>
      <c r="T300" s="47"/>
      <c r="U300" s="83"/>
      <c r="V300" s="24"/>
      <c r="W300" s="91"/>
      <c r="X300" s="20"/>
      <c r="Y300" s="114"/>
      <c r="Z300" s="43"/>
      <c r="AA300" s="41"/>
      <c r="AB300" s="25"/>
      <c r="AC300" s="23"/>
      <c r="AD300" s="23"/>
      <c r="AE300" s="154"/>
      <c r="AF300" s="155"/>
      <c r="AG300" s="155"/>
      <c r="AH300" s="31"/>
      <c r="AI300" s="31"/>
      <c r="AJ300" s="31"/>
      <c r="AK300" s="31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  <c r="IW300" s="25"/>
      <c r="IX300" s="25"/>
      <c r="IY300" s="25"/>
      <c r="IZ300" s="25"/>
      <c r="JA300" s="25"/>
      <c r="JB300" s="25"/>
      <c r="JC300" s="25"/>
      <c r="JD300" s="25"/>
      <c r="JE300" s="25"/>
      <c r="JF300" s="25"/>
      <c r="JG300" s="25"/>
      <c r="JH300" s="25"/>
      <c r="JI300" s="25"/>
      <c r="JJ300" s="25"/>
      <c r="JK300" s="25"/>
      <c r="JL300" s="25"/>
      <c r="JM300" s="25"/>
      <c r="JN300" s="25"/>
      <c r="JO300" s="25"/>
      <c r="JP300" s="25"/>
      <c r="JQ300" s="25"/>
      <c r="JR300" s="25"/>
      <c r="JS300" s="25"/>
      <c r="JT300" s="25"/>
      <c r="JU300" s="25"/>
      <c r="JV300" s="25"/>
      <c r="JW300" s="25"/>
      <c r="JX300" s="25"/>
      <c r="JY300" s="25"/>
      <c r="JZ300" s="25"/>
      <c r="KA300" s="25"/>
      <c r="KB300" s="25"/>
      <c r="KC300" s="25"/>
      <c r="KD300" s="25"/>
      <c r="KE300" s="25"/>
      <c r="KF300" s="25"/>
      <c r="KG300" s="25"/>
      <c r="KH300" s="25"/>
      <c r="KI300" s="25"/>
      <c r="KJ300" s="25"/>
      <c r="KK300" s="25"/>
      <c r="KL300" s="25"/>
      <c r="KM300" s="25"/>
      <c r="KN300" s="25"/>
      <c r="KO300" s="25"/>
      <c r="KP300" s="25"/>
      <c r="KQ300" s="25"/>
      <c r="KR300" s="25"/>
      <c r="KS300" s="25"/>
      <c r="KT300" s="25"/>
      <c r="KU300" s="25"/>
      <c r="KV300" s="25"/>
      <c r="KW300" s="25"/>
      <c r="KX300" s="25"/>
      <c r="KY300" s="25"/>
      <c r="KZ300" s="25"/>
      <c r="LA300" s="25"/>
      <c r="LB300" s="25"/>
      <c r="LC300" s="25"/>
      <c r="LD300" s="25"/>
      <c r="LE300" s="25"/>
      <c r="LF300" s="25"/>
      <c r="LG300" s="25"/>
      <c r="LH300" s="25"/>
      <c r="LI300" s="25"/>
      <c r="LJ300" s="25"/>
      <c r="LK300" s="25"/>
      <c r="LL300" s="25"/>
      <c r="LM300" s="25"/>
      <c r="LN300" s="25"/>
      <c r="LO300" s="25"/>
      <c r="LP300" s="25"/>
      <c r="LQ300" s="25"/>
      <c r="LR300" s="25"/>
      <c r="LS300" s="25"/>
      <c r="LT300" s="25"/>
      <c r="LU300" s="25"/>
      <c r="LV300" s="25"/>
      <c r="LW300" s="25"/>
      <c r="LX300" s="25"/>
      <c r="LY300" s="25"/>
      <c r="LZ300" s="25"/>
      <c r="MA300" s="25"/>
      <c r="MB300" s="25"/>
      <c r="MC300" s="25"/>
      <c r="MD300" s="25"/>
      <c r="ME300" s="25"/>
      <c r="MF300" s="25"/>
      <c r="MG300" s="25"/>
      <c r="MH300" s="25"/>
    </row>
    <row r="301" spans="1:346" s="26" customFormat="1">
      <c r="A301" s="21"/>
      <c r="B301" s="22"/>
      <c r="C301" s="4"/>
      <c r="D301" s="7"/>
      <c r="E301" s="7"/>
      <c r="F301" s="4"/>
      <c r="G301" s="4"/>
      <c r="H301" s="4"/>
      <c r="I301" s="77"/>
      <c r="J301" s="156"/>
      <c r="K301" s="77"/>
      <c r="L301" s="78"/>
      <c r="M301" s="78"/>
      <c r="N301" s="49"/>
      <c r="O301" s="49" t="e">
        <f>IF($E301="posto/hora extra",0,IF(OR(E301="posto/dia",E301="posto/dia líder"),VLOOKUP($C301,'Indicadores Financeiros'!$A$107:$J$119,8,FALSE)+VLOOKUP($C301,'Indicadores Financeiros'!$A$107:$J$119,9,FALSE)+VLOOKUP($C301,'Indicadores Financeiros'!$A$107:$J$119,10,FALSE),IF('Indicadores Financeiros'!$J$91=0,0,(VLOOKUP($C301,'Indicadores Financeiros'!$A$107:$J$119,9,FALSE)+VLOOKUP('Relatório Custo'!$C301,'Indicadores Financeiros'!$A$107:$J$119,10,FALSE)+('Indicadores Financeiros'!$J$87*'Relatório Custo'!$H301)))))</f>
        <v>#N/A</v>
      </c>
      <c r="P301" s="49"/>
      <c r="Q301" s="81"/>
      <c r="R301" s="81"/>
      <c r="S301" s="82"/>
      <c r="T301" s="47"/>
      <c r="U301" s="83"/>
      <c r="V301" s="24"/>
      <c r="W301" s="91"/>
      <c r="X301" s="20"/>
      <c r="Y301" s="114"/>
      <c r="Z301" s="43"/>
      <c r="AA301" s="41"/>
      <c r="AB301" s="25"/>
      <c r="AC301" s="23"/>
      <c r="AD301" s="23"/>
      <c r="AE301" s="154"/>
      <c r="AF301" s="155"/>
      <c r="AG301" s="155"/>
      <c r="AH301" s="31"/>
      <c r="AI301" s="31"/>
      <c r="AJ301" s="31"/>
      <c r="AK301" s="31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  <c r="IW301" s="25"/>
      <c r="IX301" s="25"/>
      <c r="IY301" s="25"/>
      <c r="IZ301" s="25"/>
      <c r="JA301" s="25"/>
      <c r="JB301" s="25"/>
      <c r="JC301" s="25"/>
      <c r="JD301" s="25"/>
      <c r="JE301" s="25"/>
      <c r="JF301" s="25"/>
      <c r="JG301" s="25"/>
      <c r="JH301" s="25"/>
      <c r="JI301" s="25"/>
      <c r="JJ301" s="25"/>
      <c r="JK301" s="25"/>
      <c r="JL301" s="25"/>
      <c r="JM301" s="25"/>
      <c r="JN301" s="25"/>
      <c r="JO301" s="25"/>
      <c r="JP301" s="25"/>
      <c r="JQ301" s="25"/>
      <c r="JR301" s="25"/>
      <c r="JS301" s="25"/>
      <c r="JT301" s="25"/>
      <c r="JU301" s="25"/>
      <c r="JV301" s="25"/>
      <c r="JW301" s="25"/>
      <c r="JX301" s="25"/>
      <c r="JY301" s="25"/>
      <c r="JZ301" s="25"/>
      <c r="KA301" s="25"/>
      <c r="KB301" s="25"/>
      <c r="KC301" s="25"/>
      <c r="KD301" s="25"/>
      <c r="KE301" s="25"/>
      <c r="KF301" s="25"/>
      <c r="KG301" s="25"/>
      <c r="KH301" s="25"/>
      <c r="KI301" s="25"/>
      <c r="KJ301" s="25"/>
      <c r="KK301" s="25"/>
      <c r="KL301" s="25"/>
      <c r="KM301" s="25"/>
      <c r="KN301" s="25"/>
      <c r="KO301" s="25"/>
      <c r="KP301" s="25"/>
      <c r="KQ301" s="25"/>
      <c r="KR301" s="25"/>
      <c r="KS301" s="25"/>
      <c r="KT301" s="25"/>
      <c r="KU301" s="25"/>
      <c r="KV301" s="25"/>
      <c r="KW301" s="25"/>
      <c r="KX301" s="25"/>
      <c r="KY301" s="25"/>
      <c r="KZ301" s="25"/>
      <c r="LA301" s="25"/>
      <c r="LB301" s="25"/>
      <c r="LC301" s="25"/>
      <c r="LD301" s="25"/>
      <c r="LE301" s="25"/>
      <c r="LF301" s="25"/>
      <c r="LG301" s="25"/>
      <c r="LH301" s="25"/>
      <c r="LI301" s="25"/>
      <c r="LJ301" s="25"/>
      <c r="LK301" s="25"/>
      <c r="LL301" s="25"/>
      <c r="LM301" s="25"/>
      <c r="LN301" s="25"/>
      <c r="LO301" s="25"/>
      <c r="LP301" s="25"/>
      <c r="LQ301" s="25"/>
      <c r="LR301" s="25"/>
      <c r="LS301" s="25"/>
      <c r="LT301" s="25"/>
      <c r="LU301" s="25"/>
      <c r="LV301" s="25"/>
      <c r="LW301" s="25"/>
      <c r="LX301" s="25"/>
      <c r="LY301" s="25"/>
      <c r="LZ301" s="25"/>
      <c r="MA301" s="25"/>
      <c r="MB301" s="25"/>
      <c r="MC301" s="25"/>
      <c r="MD301" s="25"/>
      <c r="ME301" s="25"/>
      <c r="MF301" s="25"/>
      <c r="MG301" s="25"/>
      <c r="MH301" s="25"/>
    </row>
    <row r="302" spans="1:346" s="26" customFormat="1">
      <c r="A302" s="21"/>
      <c r="B302" s="22"/>
      <c r="C302" s="4"/>
      <c r="D302" s="7"/>
      <c r="E302" s="7"/>
      <c r="F302" s="4"/>
      <c r="G302" s="4"/>
      <c r="H302" s="4"/>
      <c r="I302" s="77"/>
      <c r="J302" s="156"/>
      <c r="K302" s="77"/>
      <c r="L302" s="78"/>
      <c r="M302" s="78"/>
      <c r="N302" s="49"/>
      <c r="O302" s="49" t="e">
        <f>IF($E302="posto/hora extra",0,IF(OR(E302="posto/dia",E302="posto/dia líder"),VLOOKUP($C302,'Indicadores Financeiros'!$A$107:$J$119,8,FALSE)+VLOOKUP($C302,'Indicadores Financeiros'!$A$107:$J$119,9,FALSE)+VLOOKUP($C302,'Indicadores Financeiros'!$A$107:$J$119,10,FALSE),IF('Indicadores Financeiros'!$J$91=0,0,(VLOOKUP($C302,'Indicadores Financeiros'!$A$107:$J$119,9,FALSE)+VLOOKUP('Relatório Custo'!$C302,'Indicadores Financeiros'!$A$107:$J$119,10,FALSE)+('Indicadores Financeiros'!$J$87*'Relatório Custo'!$H302)))))</f>
        <v>#N/A</v>
      </c>
      <c r="P302" s="49"/>
      <c r="Q302" s="81"/>
      <c r="R302" s="81"/>
      <c r="S302" s="82"/>
      <c r="T302" s="47"/>
      <c r="U302" s="83"/>
      <c r="V302" s="24"/>
      <c r="W302" s="91"/>
      <c r="X302" s="20"/>
      <c r="Y302" s="114"/>
      <c r="Z302" s="43"/>
      <c r="AA302" s="41"/>
      <c r="AB302" s="25"/>
      <c r="AC302" s="23"/>
      <c r="AD302" s="23"/>
      <c r="AE302" s="154"/>
      <c r="AF302" s="155"/>
      <c r="AG302" s="155"/>
      <c r="AH302" s="31"/>
      <c r="AI302" s="31"/>
      <c r="AJ302" s="31"/>
      <c r="AK302" s="31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  <c r="IW302" s="25"/>
      <c r="IX302" s="25"/>
      <c r="IY302" s="25"/>
      <c r="IZ302" s="25"/>
      <c r="JA302" s="25"/>
      <c r="JB302" s="25"/>
      <c r="JC302" s="25"/>
      <c r="JD302" s="25"/>
      <c r="JE302" s="25"/>
      <c r="JF302" s="25"/>
      <c r="JG302" s="25"/>
      <c r="JH302" s="25"/>
      <c r="JI302" s="25"/>
      <c r="JJ302" s="25"/>
      <c r="JK302" s="25"/>
      <c r="JL302" s="25"/>
      <c r="JM302" s="25"/>
      <c r="JN302" s="25"/>
      <c r="JO302" s="25"/>
      <c r="JP302" s="25"/>
      <c r="JQ302" s="25"/>
      <c r="JR302" s="25"/>
      <c r="JS302" s="25"/>
      <c r="JT302" s="25"/>
      <c r="JU302" s="25"/>
      <c r="JV302" s="25"/>
      <c r="JW302" s="25"/>
      <c r="JX302" s="25"/>
      <c r="JY302" s="25"/>
      <c r="JZ302" s="25"/>
      <c r="KA302" s="25"/>
      <c r="KB302" s="25"/>
      <c r="KC302" s="25"/>
      <c r="KD302" s="25"/>
      <c r="KE302" s="25"/>
      <c r="KF302" s="25"/>
      <c r="KG302" s="25"/>
      <c r="KH302" s="25"/>
      <c r="KI302" s="25"/>
      <c r="KJ302" s="25"/>
      <c r="KK302" s="25"/>
      <c r="KL302" s="25"/>
      <c r="KM302" s="25"/>
      <c r="KN302" s="25"/>
      <c r="KO302" s="25"/>
      <c r="KP302" s="25"/>
      <c r="KQ302" s="25"/>
      <c r="KR302" s="25"/>
      <c r="KS302" s="25"/>
      <c r="KT302" s="25"/>
      <c r="KU302" s="25"/>
      <c r="KV302" s="25"/>
      <c r="KW302" s="25"/>
      <c r="KX302" s="25"/>
      <c r="KY302" s="25"/>
      <c r="KZ302" s="25"/>
      <c r="LA302" s="25"/>
      <c r="LB302" s="25"/>
      <c r="LC302" s="25"/>
      <c r="LD302" s="25"/>
      <c r="LE302" s="25"/>
      <c r="LF302" s="25"/>
      <c r="LG302" s="25"/>
      <c r="LH302" s="25"/>
      <c r="LI302" s="25"/>
      <c r="LJ302" s="25"/>
      <c r="LK302" s="25"/>
      <c r="LL302" s="25"/>
      <c r="LM302" s="25"/>
      <c r="LN302" s="25"/>
      <c r="LO302" s="25"/>
      <c r="LP302" s="25"/>
      <c r="LQ302" s="25"/>
      <c r="LR302" s="25"/>
      <c r="LS302" s="25"/>
      <c r="LT302" s="25"/>
      <c r="LU302" s="25"/>
      <c r="LV302" s="25"/>
      <c r="LW302" s="25"/>
      <c r="LX302" s="25"/>
      <c r="LY302" s="25"/>
      <c r="LZ302" s="25"/>
      <c r="MA302" s="25"/>
      <c r="MB302" s="25"/>
      <c r="MC302" s="25"/>
      <c r="MD302" s="25"/>
      <c r="ME302" s="25"/>
      <c r="MF302" s="25"/>
      <c r="MG302" s="25"/>
      <c r="MH302" s="25"/>
    </row>
    <row r="303" spans="1:346" s="26" customFormat="1">
      <c r="A303" s="21"/>
      <c r="B303" s="22"/>
      <c r="C303" s="4"/>
      <c r="D303" s="7"/>
      <c r="E303" s="7"/>
      <c r="F303" s="4"/>
      <c r="G303" s="4"/>
      <c r="H303" s="4"/>
      <c r="I303" s="77"/>
      <c r="J303" s="156"/>
      <c r="K303" s="77"/>
      <c r="L303" s="78"/>
      <c r="M303" s="78"/>
      <c r="N303" s="49"/>
      <c r="O303" s="49" t="e">
        <f>IF($E303="posto/hora extra",0,IF(OR(E303="posto/dia",E303="posto/dia líder"),VLOOKUP($C303,'Indicadores Financeiros'!$A$107:$J$119,8,FALSE)+VLOOKUP($C303,'Indicadores Financeiros'!$A$107:$J$119,9,FALSE)+VLOOKUP($C303,'Indicadores Financeiros'!$A$107:$J$119,10,FALSE),IF('Indicadores Financeiros'!$J$91=0,0,(VLOOKUP($C303,'Indicadores Financeiros'!$A$107:$J$119,9,FALSE)+VLOOKUP('Relatório Custo'!$C303,'Indicadores Financeiros'!$A$107:$J$119,10,FALSE)+('Indicadores Financeiros'!$J$87*'Relatório Custo'!$H303)))))</f>
        <v>#N/A</v>
      </c>
      <c r="P303" s="49"/>
      <c r="Q303" s="81"/>
      <c r="R303" s="81"/>
      <c r="S303" s="82"/>
      <c r="T303" s="47"/>
      <c r="U303" s="83"/>
      <c r="V303" s="24"/>
      <c r="W303" s="91"/>
      <c r="X303" s="20"/>
      <c r="Y303" s="114"/>
      <c r="Z303" s="43"/>
      <c r="AA303" s="41"/>
      <c r="AB303" s="25"/>
      <c r="AC303" s="23"/>
      <c r="AD303" s="23"/>
      <c r="AE303" s="154"/>
      <c r="AF303" s="155"/>
      <c r="AG303" s="155"/>
      <c r="AH303" s="31"/>
      <c r="AI303" s="31"/>
      <c r="AJ303" s="31"/>
      <c r="AK303" s="31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  <c r="IW303" s="25"/>
      <c r="IX303" s="25"/>
      <c r="IY303" s="25"/>
      <c r="IZ303" s="25"/>
      <c r="JA303" s="25"/>
      <c r="JB303" s="25"/>
      <c r="JC303" s="25"/>
      <c r="JD303" s="25"/>
      <c r="JE303" s="25"/>
      <c r="JF303" s="25"/>
      <c r="JG303" s="25"/>
      <c r="JH303" s="25"/>
      <c r="JI303" s="25"/>
      <c r="JJ303" s="25"/>
      <c r="JK303" s="25"/>
      <c r="JL303" s="25"/>
      <c r="JM303" s="25"/>
      <c r="JN303" s="25"/>
      <c r="JO303" s="25"/>
      <c r="JP303" s="25"/>
      <c r="JQ303" s="25"/>
      <c r="JR303" s="25"/>
      <c r="JS303" s="25"/>
      <c r="JT303" s="25"/>
      <c r="JU303" s="25"/>
      <c r="JV303" s="25"/>
      <c r="JW303" s="25"/>
      <c r="JX303" s="25"/>
      <c r="JY303" s="25"/>
      <c r="JZ303" s="25"/>
      <c r="KA303" s="25"/>
      <c r="KB303" s="25"/>
      <c r="KC303" s="25"/>
      <c r="KD303" s="25"/>
      <c r="KE303" s="25"/>
      <c r="KF303" s="25"/>
      <c r="KG303" s="25"/>
      <c r="KH303" s="25"/>
      <c r="KI303" s="25"/>
      <c r="KJ303" s="25"/>
      <c r="KK303" s="25"/>
      <c r="KL303" s="25"/>
      <c r="KM303" s="25"/>
      <c r="KN303" s="25"/>
      <c r="KO303" s="25"/>
      <c r="KP303" s="25"/>
      <c r="KQ303" s="25"/>
      <c r="KR303" s="25"/>
      <c r="KS303" s="25"/>
      <c r="KT303" s="25"/>
      <c r="KU303" s="25"/>
      <c r="KV303" s="25"/>
      <c r="KW303" s="25"/>
      <c r="KX303" s="25"/>
      <c r="KY303" s="25"/>
      <c r="KZ303" s="25"/>
      <c r="LA303" s="25"/>
      <c r="LB303" s="25"/>
      <c r="LC303" s="25"/>
      <c r="LD303" s="25"/>
      <c r="LE303" s="25"/>
      <c r="LF303" s="25"/>
      <c r="LG303" s="25"/>
      <c r="LH303" s="25"/>
      <c r="LI303" s="25"/>
      <c r="LJ303" s="25"/>
      <c r="LK303" s="25"/>
      <c r="LL303" s="25"/>
      <c r="LM303" s="25"/>
      <c r="LN303" s="25"/>
      <c r="LO303" s="25"/>
      <c r="LP303" s="25"/>
      <c r="LQ303" s="25"/>
      <c r="LR303" s="25"/>
      <c r="LS303" s="25"/>
      <c r="LT303" s="25"/>
      <c r="LU303" s="25"/>
      <c r="LV303" s="25"/>
      <c r="LW303" s="25"/>
      <c r="LX303" s="25"/>
      <c r="LY303" s="25"/>
      <c r="LZ303" s="25"/>
      <c r="MA303" s="25"/>
      <c r="MB303" s="25"/>
      <c r="MC303" s="25"/>
      <c r="MD303" s="25"/>
      <c r="ME303" s="25"/>
      <c r="MF303" s="25"/>
      <c r="MG303" s="25"/>
      <c r="MH303" s="25"/>
    </row>
    <row r="304" spans="1:346" s="26" customFormat="1">
      <c r="A304" s="21"/>
      <c r="B304" s="22"/>
      <c r="C304" s="4"/>
      <c r="D304" s="7"/>
      <c r="E304" s="7"/>
      <c r="F304" s="4"/>
      <c r="G304" s="4"/>
      <c r="H304" s="4"/>
      <c r="I304" s="77"/>
      <c r="J304" s="156"/>
      <c r="K304" s="77"/>
      <c r="L304" s="78"/>
      <c r="M304" s="78"/>
      <c r="N304" s="49"/>
      <c r="O304" s="49" t="e">
        <f>IF($E304="posto/hora extra",0,IF(OR(E304="posto/dia",E304="posto/dia líder"),VLOOKUP($C304,'Indicadores Financeiros'!$A$107:$J$119,8,FALSE)+VLOOKUP($C304,'Indicadores Financeiros'!$A$107:$J$119,9,FALSE)+VLOOKUP($C304,'Indicadores Financeiros'!$A$107:$J$119,10,FALSE),IF('Indicadores Financeiros'!$J$91=0,0,(VLOOKUP($C304,'Indicadores Financeiros'!$A$107:$J$119,9,FALSE)+VLOOKUP('Relatório Custo'!$C304,'Indicadores Financeiros'!$A$107:$J$119,10,FALSE)+('Indicadores Financeiros'!$J$87*'Relatório Custo'!$H304)))))</f>
        <v>#N/A</v>
      </c>
      <c r="P304" s="49"/>
      <c r="Q304" s="81"/>
      <c r="R304" s="81"/>
      <c r="S304" s="82"/>
      <c r="T304" s="47"/>
      <c r="U304" s="83"/>
      <c r="V304" s="24"/>
      <c r="W304" s="91"/>
      <c r="X304" s="20"/>
      <c r="Y304" s="114"/>
      <c r="Z304" s="43"/>
      <c r="AA304" s="41"/>
      <c r="AB304" s="25"/>
      <c r="AC304" s="23"/>
      <c r="AD304" s="23"/>
      <c r="AE304" s="154"/>
      <c r="AF304" s="155"/>
      <c r="AG304" s="155"/>
      <c r="AH304" s="31"/>
      <c r="AI304" s="31"/>
      <c r="AJ304" s="31"/>
      <c r="AK304" s="31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  <c r="IW304" s="25"/>
      <c r="IX304" s="25"/>
      <c r="IY304" s="25"/>
      <c r="IZ304" s="25"/>
      <c r="JA304" s="25"/>
      <c r="JB304" s="25"/>
      <c r="JC304" s="25"/>
      <c r="JD304" s="25"/>
      <c r="JE304" s="25"/>
      <c r="JF304" s="25"/>
      <c r="JG304" s="25"/>
      <c r="JH304" s="25"/>
      <c r="JI304" s="25"/>
      <c r="JJ304" s="25"/>
      <c r="JK304" s="25"/>
      <c r="JL304" s="25"/>
      <c r="JM304" s="25"/>
      <c r="JN304" s="25"/>
      <c r="JO304" s="25"/>
      <c r="JP304" s="25"/>
      <c r="JQ304" s="25"/>
      <c r="JR304" s="25"/>
      <c r="JS304" s="25"/>
      <c r="JT304" s="25"/>
      <c r="JU304" s="25"/>
      <c r="JV304" s="25"/>
      <c r="JW304" s="25"/>
      <c r="JX304" s="25"/>
      <c r="JY304" s="25"/>
      <c r="JZ304" s="25"/>
      <c r="KA304" s="25"/>
      <c r="KB304" s="25"/>
      <c r="KC304" s="25"/>
      <c r="KD304" s="25"/>
      <c r="KE304" s="25"/>
      <c r="KF304" s="25"/>
      <c r="KG304" s="25"/>
      <c r="KH304" s="25"/>
      <c r="KI304" s="25"/>
      <c r="KJ304" s="25"/>
      <c r="KK304" s="25"/>
      <c r="KL304" s="25"/>
      <c r="KM304" s="25"/>
      <c r="KN304" s="25"/>
      <c r="KO304" s="25"/>
      <c r="KP304" s="25"/>
      <c r="KQ304" s="25"/>
      <c r="KR304" s="25"/>
      <c r="KS304" s="25"/>
      <c r="KT304" s="25"/>
      <c r="KU304" s="25"/>
      <c r="KV304" s="25"/>
      <c r="KW304" s="25"/>
      <c r="KX304" s="25"/>
      <c r="KY304" s="25"/>
      <c r="KZ304" s="25"/>
      <c r="LA304" s="25"/>
      <c r="LB304" s="25"/>
      <c r="LC304" s="25"/>
      <c r="LD304" s="25"/>
      <c r="LE304" s="25"/>
      <c r="LF304" s="25"/>
      <c r="LG304" s="25"/>
      <c r="LH304" s="25"/>
      <c r="LI304" s="25"/>
      <c r="LJ304" s="25"/>
      <c r="LK304" s="25"/>
      <c r="LL304" s="25"/>
      <c r="LM304" s="25"/>
      <c r="LN304" s="25"/>
      <c r="LO304" s="25"/>
      <c r="LP304" s="25"/>
      <c r="LQ304" s="25"/>
      <c r="LR304" s="25"/>
      <c r="LS304" s="25"/>
      <c r="LT304" s="25"/>
      <c r="LU304" s="25"/>
      <c r="LV304" s="25"/>
      <c r="LW304" s="25"/>
      <c r="LX304" s="25"/>
      <c r="LY304" s="25"/>
      <c r="LZ304" s="25"/>
      <c r="MA304" s="25"/>
      <c r="MB304" s="25"/>
      <c r="MC304" s="25"/>
      <c r="MD304" s="25"/>
      <c r="ME304" s="25"/>
      <c r="MF304" s="25"/>
      <c r="MG304" s="25"/>
      <c r="MH304" s="25"/>
    </row>
    <row r="305" spans="1:346" s="26" customFormat="1">
      <c r="A305" s="21"/>
      <c r="B305" s="22"/>
      <c r="C305" s="4"/>
      <c r="D305" s="7"/>
      <c r="E305" s="7"/>
      <c r="F305" s="4"/>
      <c r="G305" s="4"/>
      <c r="H305" s="4"/>
      <c r="I305" s="77"/>
      <c r="J305" s="156"/>
      <c r="K305" s="77"/>
      <c r="L305" s="78"/>
      <c r="M305" s="78"/>
      <c r="N305" s="49"/>
      <c r="O305" s="49" t="e">
        <f>IF($E305="posto/hora extra",0,IF(OR(E305="posto/dia",E305="posto/dia líder"),VLOOKUP($C305,'Indicadores Financeiros'!$A$107:$J$119,8,FALSE)+VLOOKUP($C305,'Indicadores Financeiros'!$A$107:$J$119,9,FALSE)+VLOOKUP($C305,'Indicadores Financeiros'!$A$107:$J$119,10,FALSE),IF('Indicadores Financeiros'!$J$91=0,0,(VLOOKUP($C305,'Indicadores Financeiros'!$A$107:$J$119,9,FALSE)+VLOOKUP('Relatório Custo'!$C305,'Indicadores Financeiros'!$A$107:$J$119,10,FALSE)+('Indicadores Financeiros'!$J$87*'Relatório Custo'!$H305)))))</f>
        <v>#N/A</v>
      </c>
      <c r="P305" s="49"/>
      <c r="Q305" s="81"/>
      <c r="R305" s="81"/>
      <c r="S305" s="82"/>
      <c r="T305" s="47"/>
      <c r="U305" s="83"/>
      <c r="V305" s="24"/>
      <c r="W305" s="91"/>
      <c r="X305" s="20"/>
      <c r="Y305" s="114"/>
      <c r="Z305" s="43"/>
      <c r="AA305" s="41"/>
      <c r="AB305" s="25"/>
      <c r="AC305" s="23"/>
      <c r="AD305" s="23"/>
      <c r="AE305" s="154"/>
      <c r="AF305" s="155"/>
      <c r="AG305" s="155"/>
      <c r="AH305" s="31"/>
      <c r="AI305" s="31"/>
      <c r="AJ305" s="31"/>
      <c r="AK305" s="31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  <c r="IW305" s="25"/>
      <c r="IX305" s="25"/>
      <c r="IY305" s="25"/>
      <c r="IZ305" s="25"/>
      <c r="JA305" s="25"/>
      <c r="JB305" s="25"/>
      <c r="JC305" s="25"/>
      <c r="JD305" s="25"/>
      <c r="JE305" s="25"/>
      <c r="JF305" s="25"/>
      <c r="JG305" s="25"/>
      <c r="JH305" s="25"/>
      <c r="JI305" s="25"/>
      <c r="JJ305" s="25"/>
      <c r="JK305" s="25"/>
      <c r="JL305" s="25"/>
      <c r="JM305" s="25"/>
      <c r="JN305" s="25"/>
      <c r="JO305" s="25"/>
      <c r="JP305" s="25"/>
      <c r="JQ305" s="25"/>
      <c r="JR305" s="25"/>
      <c r="JS305" s="25"/>
      <c r="JT305" s="25"/>
      <c r="JU305" s="25"/>
      <c r="JV305" s="25"/>
      <c r="JW305" s="25"/>
      <c r="JX305" s="25"/>
      <c r="JY305" s="25"/>
      <c r="JZ305" s="25"/>
      <c r="KA305" s="25"/>
      <c r="KB305" s="25"/>
      <c r="KC305" s="25"/>
      <c r="KD305" s="25"/>
      <c r="KE305" s="25"/>
      <c r="KF305" s="25"/>
      <c r="KG305" s="25"/>
      <c r="KH305" s="25"/>
      <c r="KI305" s="25"/>
      <c r="KJ305" s="25"/>
      <c r="KK305" s="25"/>
      <c r="KL305" s="25"/>
      <c r="KM305" s="25"/>
      <c r="KN305" s="25"/>
      <c r="KO305" s="25"/>
      <c r="KP305" s="25"/>
      <c r="KQ305" s="25"/>
      <c r="KR305" s="25"/>
      <c r="KS305" s="25"/>
      <c r="KT305" s="25"/>
      <c r="KU305" s="25"/>
      <c r="KV305" s="25"/>
      <c r="KW305" s="25"/>
      <c r="KX305" s="25"/>
      <c r="KY305" s="25"/>
      <c r="KZ305" s="25"/>
      <c r="LA305" s="25"/>
      <c r="LB305" s="25"/>
      <c r="LC305" s="25"/>
      <c r="LD305" s="25"/>
      <c r="LE305" s="25"/>
      <c r="LF305" s="25"/>
      <c r="LG305" s="25"/>
      <c r="LH305" s="25"/>
      <c r="LI305" s="25"/>
      <c r="LJ305" s="25"/>
      <c r="LK305" s="25"/>
      <c r="LL305" s="25"/>
      <c r="LM305" s="25"/>
      <c r="LN305" s="25"/>
      <c r="LO305" s="25"/>
      <c r="LP305" s="25"/>
      <c r="LQ305" s="25"/>
      <c r="LR305" s="25"/>
      <c r="LS305" s="25"/>
      <c r="LT305" s="25"/>
      <c r="LU305" s="25"/>
      <c r="LV305" s="25"/>
      <c r="LW305" s="25"/>
      <c r="LX305" s="25"/>
      <c r="LY305" s="25"/>
      <c r="LZ305" s="25"/>
      <c r="MA305" s="25"/>
      <c r="MB305" s="25"/>
      <c r="MC305" s="25"/>
      <c r="MD305" s="25"/>
      <c r="ME305" s="25"/>
      <c r="MF305" s="25"/>
      <c r="MG305" s="25"/>
      <c r="MH305" s="25"/>
    </row>
    <row r="306" spans="1:346" s="26" customFormat="1">
      <c r="A306" s="21"/>
      <c r="B306" s="22"/>
      <c r="C306" s="4"/>
      <c r="D306" s="7"/>
      <c r="E306" s="7"/>
      <c r="F306" s="4"/>
      <c r="G306" s="4"/>
      <c r="H306" s="4"/>
      <c r="I306" s="77"/>
      <c r="J306" s="156"/>
      <c r="K306" s="77"/>
      <c r="L306" s="78"/>
      <c r="M306" s="78"/>
      <c r="N306" s="49"/>
      <c r="O306" s="49" t="e">
        <f>IF($E306="posto/hora extra",0,IF(OR(E306="posto/dia",E306="posto/dia líder"),VLOOKUP($C306,'Indicadores Financeiros'!$A$107:$J$119,8,FALSE)+VLOOKUP($C306,'Indicadores Financeiros'!$A$107:$J$119,9,FALSE)+VLOOKUP($C306,'Indicadores Financeiros'!$A$107:$J$119,10,FALSE),IF('Indicadores Financeiros'!$J$91=0,0,(VLOOKUP($C306,'Indicadores Financeiros'!$A$107:$J$119,9,FALSE)+VLOOKUP('Relatório Custo'!$C306,'Indicadores Financeiros'!$A$107:$J$119,10,FALSE)+('Indicadores Financeiros'!$J$87*'Relatório Custo'!$H306)))))</f>
        <v>#N/A</v>
      </c>
      <c r="P306" s="49"/>
      <c r="Q306" s="81"/>
      <c r="R306" s="81"/>
      <c r="S306" s="82"/>
      <c r="T306" s="47"/>
      <c r="U306" s="83"/>
      <c r="V306" s="24"/>
      <c r="W306" s="91"/>
      <c r="X306" s="20"/>
      <c r="Y306" s="114"/>
      <c r="Z306" s="43"/>
      <c r="AA306" s="41"/>
      <c r="AB306" s="25"/>
      <c r="AC306" s="23"/>
      <c r="AD306" s="23"/>
      <c r="AE306" s="154"/>
      <c r="AF306" s="155"/>
      <c r="AG306" s="155"/>
      <c r="AH306" s="31"/>
      <c r="AI306" s="31"/>
      <c r="AJ306" s="31"/>
      <c r="AK306" s="31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  <c r="IW306" s="25"/>
      <c r="IX306" s="25"/>
      <c r="IY306" s="25"/>
      <c r="IZ306" s="25"/>
      <c r="JA306" s="25"/>
      <c r="JB306" s="25"/>
      <c r="JC306" s="25"/>
      <c r="JD306" s="25"/>
      <c r="JE306" s="25"/>
      <c r="JF306" s="25"/>
      <c r="JG306" s="25"/>
      <c r="JH306" s="25"/>
      <c r="JI306" s="25"/>
      <c r="JJ306" s="25"/>
      <c r="JK306" s="25"/>
      <c r="JL306" s="25"/>
      <c r="JM306" s="25"/>
      <c r="JN306" s="25"/>
      <c r="JO306" s="25"/>
      <c r="JP306" s="25"/>
      <c r="JQ306" s="25"/>
      <c r="JR306" s="25"/>
      <c r="JS306" s="25"/>
      <c r="JT306" s="25"/>
      <c r="JU306" s="25"/>
      <c r="JV306" s="25"/>
      <c r="JW306" s="25"/>
      <c r="JX306" s="25"/>
      <c r="JY306" s="25"/>
      <c r="JZ306" s="25"/>
      <c r="KA306" s="25"/>
      <c r="KB306" s="25"/>
      <c r="KC306" s="25"/>
      <c r="KD306" s="25"/>
      <c r="KE306" s="25"/>
      <c r="KF306" s="25"/>
      <c r="KG306" s="25"/>
      <c r="KH306" s="25"/>
      <c r="KI306" s="25"/>
      <c r="KJ306" s="25"/>
      <c r="KK306" s="25"/>
      <c r="KL306" s="25"/>
      <c r="KM306" s="25"/>
      <c r="KN306" s="25"/>
      <c r="KO306" s="25"/>
      <c r="KP306" s="25"/>
      <c r="KQ306" s="25"/>
      <c r="KR306" s="25"/>
      <c r="KS306" s="25"/>
      <c r="KT306" s="25"/>
      <c r="KU306" s="25"/>
      <c r="KV306" s="25"/>
      <c r="KW306" s="25"/>
      <c r="KX306" s="25"/>
      <c r="KY306" s="25"/>
      <c r="KZ306" s="25"/>
      <c r="LA306" s="25"/>
      <c r="LB306" s="25"/>
      <c r="LC306" s="25"/>
      <c r="LD306" s="25"/>
      <c r="LE306" s="25"/>
      <c r="LF306" s="25"/>
      <c r="LG306" s="25"/>
      <c r="LH306" s="25"/>
      <c r="LI306" s="25"/>
      <c r="LJ306" s="25"/>
      <c r="LK306" s="25"/>
      <c r="LL306" s="25"/>
      <c r="LM306" s="25"/>
      <c r="LN306" s="25"/>
      <c r="LO306" s="25"/>
      <c r="LP306" s="25"/>
      <c r="LQ306" s="25"/>
      <c r="LR306" s="25"/>
      <c r="LS306" s="25"/>
      <c r="LT306" s="25"/>
      <c r="LU306" s="25"/>
      <c r="LV306" s="25"/>
      <c r="LW306" s="25"/>
      <c r="LX306" s="25"/>
      <c r="LY306" s="25"/>
      <c r="LZ306" s="25"/>
      <c r="MA306" s="25"/>
      <c r="MB306" s="25"/>
      <c r="MC306" s="25"/>
      <c r="MD306" s="25"/>
      <c r="ME306" s="25"/>
      <c r="MF306" s="25"/>
      <c r="MG306" s="25"/>
      <c r="MH306" s="25"/>
    </row>
    <row r="307" spans="1:346" s="26" customFormat="1">
      <c r="A307" s="21"/>
      <c r="B307" s="22"/>
      <c r="C307" s="4"/>
      <c r="D307" s="7"/>
      <c r="E307" s="7"/>
      <c r="F307" s="4"/>
      <c r="G307" s="4"/>
      <c r="H307" s="4"/>
      <c r="I307" s="77"/>
      <c r="J307" s="156"/>
      <c r="K307" s="77"/>
      <c r="L307" s="78"/>
      <c r="M307" s="78"/>
      <c r="N307" s="49"/>
      <c r="O307" s="49" t="e">
        <f>IF($E307="posto/hora extra",0,IF(OR(E307="posto/dia",E307="posto/dia líder"),VLOOKUP($C307,'Indicadores Financeiros'!$A$107:$J$119,8,FALSE)+VLOOKUP($C307,'Indicadores Financeiros'!$A$107:$J$119,9,FALSE)+VLOOKUP($C307,'Indicadores Financeiros'!$A$107:$J$119,10,FALSE),IF('Indicadores Financeiros'!$J$91=0,0,(VLOOKUP($C307,'Indicadores Financeiros'!$A$107:$J$119,9,FALSE)+VLOOKUP('Relatório Custo'!$C307,'Indicadores Financeiros'!$A$107:$J$119,10,FALSE)+('Indicadores Financeiros'!$J$87*'Relatório Custo'!$H307)))))</f>
        <v>#N/A</v>
      </c>
      <c r="P307" s="49"/>
      <c r="Q307" s="81"/>
      <c r="R307" s="81"/>
      <c r="S307" s="82"/>
      <c r="T307" s="47"/>
      <c r="U307" s="83"/>
      <c r="V307" s="24"/>
      <c r="W307" s="91"/>
      <c r="X307" s="20"/>
      <c r="Y307" s="114"/>
      <c r="Z307" s="43"/>
      <c r="AA307" s="41"/>
      <c r="AB307" s="25"/>
      <c r="AC307" s="23"/>
      <c r="AD307" s="23"/>
      <c r="AE307" s="154"/>
      <c r="AF307" s="155"/>
      <c r="AG307" s="155"/>
      <c r="AH307" s="31"/>
      <c r="AI307" s="31"/>
      <c r="AJ307" s="31"/>
      <c r="AK307" s="31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  <c r="IV307" s="25"/>
      <c r="IW307" s="25"/>
      <c r="IX307" s="25"/>
      <c r="IY307" s="25"/>
      <c r="IZ307" s="25"/>
      <c r="JA307" s="25"/>
      <c r="JB307" s="25"/>
      <c r="JC307" s="25"/>
      <c r="JD307" s="25"/>
      <c r="JE307" s="25"/>
      <c r="JF307" s="25"/>
      <c r="JG307" s="25"/>
      <c r="JH307" s="25"/>
      <c r="JI307" s="25"/>
      <c r="JJ307" s="25"/>
      <c r="JK307" s="25"/>
      <c r="JL307" s="25"/>
      <c r="JM307" s="25"/>
      <c r="JN307" s="25"/>
      <c r="JO307" s="25"/>
      <c r="JP307" s="25"/>
      <c r="JQ307" s="25"/>
      <c r="JR307" s="25"/>
      <c r="JS307" s="25"/>
      <c r="JT307" s="25"/>
      <c r="JU307" s="25"/>
      <c r="JV307" s="25"/>
      <c r="JW307" s="25"/>
      <c r="JX307" s="25"/>
      <c r="JY307" s="25"/>
      <c r="JZ307" s="25"/>
      <c r="KA307" s="25"/>
      <c r="KB307" s="25"/>
      <c r="KC307" s="25"/>
      <c r="KD307" s="25"/>
      <c r="KE307" s="25"/>
      <c r="KF307" s="25"/>
      <c r="KG307" s="25"/>
      <c r="KH307" s="25"/>
      <c r="KI307" s="25"/>
      <c r="KJ307" s="25"/>
      <c r="KK307" s="25"/>
      <c r="KL307" s="25"/>
      <c r="KM307" s="25"/>
      <c r="KN307" s="25"/>
      <c r="KO307" s="25"/>
      <c r="KP307" s="25"/>
      <c r="KQ307" s="25"/>
      <c r="KR307" s="25"/>
      <c r="KS307" s="25"/>
      <c r="KT307" s="25"/>
      <c r="KU307" s="25"/>
      <c r="KV307" s="25"/>
      <c r="KW307" s="25"/>
      <c r="KX307" s="25"/>
      <c r="KY307" s="25"/>
      <c r="KZ307" s="25"/>
      <c r="LA307" s="25"/>
      <c r="LB307" s="25"/>
      <c r="LC307" s="25"/>
      <c r="LD307" s="25"/>
      <c r="LE307" s="25"/>
      <c r="LF307" s="25"/>
      <c r="LG307" s="25"/>
      <c r="LH307" s="25"/>
      <c r="LI307" s="25"/>
      <c r="LJ307" s="25"/>
      <c r="LK307" s="25"/>
      <c r="LL307" s="25"/>
      <c r="LM307" s="25"/>
      <c r="LN307" s="25"/>
      <c r="LO307" s="25"/>
      <c r="LP307" s="25"/>
      <c r="LQ307" s="25"/>
      <c r="LR307" s="25"/>
      <c r="LS307" s="25"/>
      <c r="LT307" s="25"/>
      <c r="LU307" s="25"/>
      <c r="LV307" s="25"/>
      <c r="LW307" s="25"/>
      <c r="LX307" s="25"/>
      <c r="LY307" s="25"/>
      <c r="LZ307" s="25"/>
      <c r="MA307" s="25"/>
      <c r="MB307" s="25"/>
      <c r="MC307" s="25"/>
      <c r="MD307" s="25"/>
      <c r="ME307" s="25"/>
      <c r="MF307" s="25"/>
      <c r="MG307" s="25"/>
      <c r="MH307" s="25"/>
    </row>
    <row r="308" spans="1:346" s="26" customFormat="1">
      <c r="A308" s="21"/>
      <c r="B308" s="22"/>
      <c r="C308" s="4"/>
      <c r="D308" s="7"/>
      <c r="E308" s="7"/>
      <c r="F308" s="4"/>
      <c r="G308" s="4"/>
      <c r="H308" s="4"/>
      <c r="I308" s="77"/>
      <c r="J308" s="156"/>
      <c r="K308" s="77"/>
      <c r="L308" s="78"/>
      <c r="M308" s="78"/>
      <c r="N308" s="49"/>
      <c r="O308" s="49" t="e">
        <f>IF($E308="posto/hora extra",0,IF(OR(E308="posto/dia",E308="posto/dia líder"),VLOOKUP($C308,'Indicadores Financeiros'!$A$107:$J$119,8,FALSE)+VLOOKUP($C308,'Indicadores Financeiros'!$A$107:$J$119,9,FALSE)+VLOOKUP($C308,'Indicadores Financeiros'!$A$107:$J$119,10,FALSE),IF('Indicadores Financeiros'!$J$91=0,0,(VLOOKUP($C308,'Indicadores Financeiros'!$A$107:$J$119,9,FALSE)+VLOOKUP('Relatório Custo'!$C308,'Indicadores Financeiros'!$A$107:$J$119,10,FALSE)+('Indicadores Financeiros'!$J$87*'Relatório Custo'!$H308)))))</f>
        <v>#N/A</v>
      </c>
      <c r="P308" s="49"/>
      <c r="Q308" s="81"/>
      <c r="R308" s="81"/>
      <c r="S308" s="82"/>
      <c r="T308" s="47"/>
      <c r="U308" s="83"/>
      <c r="V308" s="24"/>
      <c r="W308" s="91"/>
      <c r="X308" s="20"/>
      <c r="Y308" s="114"/>
      <c r="Z308" s="43"/>
      <c r="AA308" s="41"/>
      <c r="AB308" s="25"/>
      <c r="AC308" s="23"/>
      <c r="AD308" s="23"/>
      <c r="AE308" s="154"/>
      <c r="AF308" s="155"/>
      <c r="AG308" s="155"/>
      <c r="AH308" s="31"/>
      <c r="AI308" s="31"/>
      <c r="AJ308" s="31"/>
      <c r="AK308" s="31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  <c r="IW308" s="25"/>
      <c r="IX308" s="25"/>
      <c r="IY308" s="25"/>
      <c r="IZ308" s="25"/>
      <c r="JA308" s="25"/>
      <c r="JB308" s="25"/>
      <c r="JC308" s="25"/>
      <c r="JD308" s="25"/>
      <c r="JE308" s="25"/>
      <c r="JF308" s="25"/>
      <c r="JG308" s="25"/>
      <c r="JH308" s="25"/>
      <c r="JI308" s="25"/>
      <c r="JJ308" s="25"/>
      <c r="JK308" s="25"/>
      <c r="JL308" s="25"/>
      <c r="JM308" s="25"/>
      <c r="JN308" s="25"/>
      <c r="JO308" s="25"/>
      <c r="JP308" s="25"/>
      <c r="JQ308" s="25"/>
      <c r="JR308" s="25"/>
      <c r="JS308" s="25"/>
      <c r="JT308" s="25"/>
      <c r="JU308" s="25"/>
      <c r="JV308" s="25"/>
      <c r="JW308" s="25"/>
      <c r="JX308" s="25"/>
      <c r="JY308" s="25"/>
      <c r="JZ308" s="25"/>
      <c r="KA308" s="25"/>
      <c r="KB308" s="25"/>
      <c r="KC308" s="25"/>
      <c r="KD308" s="25"/>
      <c r="KE308" s="25"/>
      <c r="KF308" s="25"/>
      <c r="KG308" s="25"/>
      <c r="KH308" s="25"/>
      <c r="KI308" s="25"/>
      <c r="KJ308" s="25"/>
      <c r="KK308" s="25"/>
      <c r="KL308" s="25"/>
      <c r="KM308" s="25"/>
      <c r="KN308" s="25"/>
      <c r="KO308" s="25"/>
      <c r="KP308" s="25"/>
      <c r="KQ308" s="25"/>
      <c r="KR308" s="25"/>
      <c r="KS308" s="25"/>
      <c r="KT308" s="25"/>
      <c r="KU308" s="25"/>
      <c r="KV308" s="25"/>
      <c r="KW308" s="25"/>
      <c r="KX308" s="25"/>
      <c r="KY308" s="25"/>
      <c r="KZ308" s="25"/>
      <c r="LA308" s="25"/>
      <c r="LB308" s="25"/>
      <c r="LC308" s="25"/>
      <c r="LD308" s="25"/>
      <c r="LE308" s="25"/>
      <c r="LF308" s="25"/>
      <c r="LG308" s="25"/>
      <c r="LH308" s="25"/>
      <c r="LI308" s="25"/>
      <c r="LJ308" s="25"/>
      <c r="LK308" s="25"/>
      <c r="LL308" s="25"/>
      <c r="LM308" s="25"/>
      <c r="LN308" s="25"/>
      <c r="LO308" s="25"/>
      <c r="LP308" s="25"/>
      <c r="LQ308" s="25"/>
      <c r="LR308" s="25"/>
      <c r="LS308" s="25"/>
      <c r="LT308" s="25"/>
      <c r="LU308" s="25"/>
      <c r="LV308" s="25"/>
      <c r="LW308" s="25"/>
      <c r="LX308" s="25"/>
      <c r="LY308" s="25"/>
      <c r="LZ308" s="25"/>
      <c r="MA308" s="25"/>
      <c r="MB308" s="25"/>
      <c r="MC308" s="25"/>
      <c r="MD308" s="25"/>
      <c r="ME308" s="25"/>
      <c r="MF308" s="25"/>
      <c r="MG308" s="25"/>
      <c r="MH308" s="25"/>
    </row>
    <row r="309" spans="1:346" s="26" customFormat="1">
      <c r="A309" s="21"/>
      <c r="B309" s="22"/>
      <c r="C309" s="4"/>
      <c r="D309" s="7"/>
      <c r="E309" s="7"/>
      <c r="F309" s="4"/>
      <c r="G309" s="4"/>
      <c r="H309" s="4"/>
      <c r="I309" s="77"/>
      <c r="J309" s="156"/>
      <c r="K309" s="77"/>
      <c r="L309" s="78"/>
      <c r="M309" s="78"/>
      <c r="N309" s="49"/>
      <c r="O309" s="49" t="e">
        <f>IF($E309="posto/hora extra",0,IF(OR(E309="posto/dia",E309="posto/dia líder"),VLOOKUP($C309,'Indicadores Financeiros'!$A$107:$J$119,8,FALSE)+VLOOKUP($C309,'Indicadores Financeiros'!$A$107:$J$119,9,FALSE)+VLOOKUP($C309,'Indicadores Financeiros'!$A$107:$J$119,10,FALSE),IF('Indicadores Financeiros'!$J$91=0,0,(VLOOKUP($C309,'Indicadores Financeiros'!$A$107:$J$119,9,FALSE)+VLOOKUP('Relatório Custo'!$C309,'Indicadores Financeiros'!$A$107:$J$119,10,FALSE)+('Indicadores Financeiros'!$J$87*'Relatório Custo'!$H309)))))</f>
        <v>#N/A</v>
      </c>
      <c r="P309" s="49"/>
      <c r="Q309" s="81"/>
      <c r="R309" s="81"/>
      <c r="S309" s="82"/>
      <c r="T309" s="47"/>
      <c r="U309" s="83"/>
      <c r="V309" s="24"/>
      <c r="W309" s="91"/>
      <c r="X309" s="20"/>
      <c r="Y309" s="114"/>
      <c r="Z309" s="43"/>
      <c r="AA309" s="41"/>
      <c r="AB309" s="25"/>
      <c r="AC309" s="23"/>
      <c r="AD309" s="23"/>
      <c r="AE309" s="154"/>
      <c r="AF309" s="155"/>
      <c r="AG309" s="155"/>
      <c r="AH309" s="31"/>
      <c r="AI309" s="31"/>
      <c r="AJ309" s="31"/>
      <c r="AK309" s="31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  <c r="IW309" s="25"/>
      <c r="IX309" s="25"/>
      <c r="IY309" s="25"/>
      <c r="IZ309" s="25"/>
      <c r="JA309" s="25"/>
      <c r="JB309" s="25"/>
      <c r="JC309" s="25"/>
      <c r="JD309" s="25"/>
      <c r="JE309" s="25"/>
      <c r="JF309" s="25"/>
      <c r="JG309" s="25"/>
      <c r="JH309" s="25"/>
      <c r="JI309" s="25"/>
      <c r="JJ309" s="25"/>
      <c r="JK309" s="25"/>
      <c r="JL309" s="25"/>
      <c r="JM309" s="25"/>
      <c r="JN309" s="25"/>
      <c r="JO309" s="25"/>
      <c r="JP309" s="25"/>
      <c r="JQ309" s="25"/>
      <c r="JR309" s="25"/>
      <c r="JS309" s="25"/>
      <c r="JT309" s="25"/>
      <c r="JU309" s="25"/>
      <c r="JV309" s="25"/>
      <c r="JW309" s="25"/>
      <c r="JX309" s="25"/>
      <c r="JY309" s="25"/>
      <c r="JZ309" s="25"/>
      <c r="KA309" s="25"/>
      <c r="KB309" s="25"/>
      <c r="KC309" s="25"/>
      <c r="KD309" s="25"/>
      <c r="KE309" s="25"/>
      <c r="KF309" s="25"/>
      <c r="KG309" s="25"/>
      <c r="KH309" s="25"/>
      <c r="KI309" s="25"/>
      <c r="KJ309" s="25"/>
      <c r="KK309" s="25"/>
      <c r="KL309" s="25"/>
      <c r="KM309" s="25"/>
      <c r="KN309" s="25"/>
      <c r="KO309" s="25"/>
      <c r="KP309" s="25"/>
      <c r="KQ309" s="25"/>
      <c r="KR309" s="25"/>
      <c r="KS309" s="25"/>
      <c r="KT309" s="25"/>
      <c r="KU309" s="25"/>
      <c r="KV309" s="25"/>
      <c r="KW309" s="25"/>
      <c r="KX309" s="25"/>
      <c r="KY309" s="25"/>
      <c r="KZ309" s="25"/>
      <c r="LA309" s="25"/>
      <c r="LB309" s="25"/>
      <c r="LC309" s="25"/>
      <c r="LD309" s="25"/>
      <c r="LE309" s="25"/>
      <c r="LF309" s="25"/>
      <c r="LG309" s="25"/>
      <c r="LH309" s="25"/>
      <c r="LI309" s="25"/>
      <c r="LJ309" s="25"/>
      <c r="LK309" s="25"/>
      <c r="LL309" s="25"/>
      <c r="LM309" s="25"/>
      <c r="LN309" s="25"/>
      <c r="LO309" s="25"/>
      <c r="LP309" s="25"/>
      <c r="LQ309" s="25"/>
      <c r="LR309" s="25"/>
      <c r="LS309" s="25"/>
      <c r="LT309" s="25"/>
      <c r="LU309" s="25"/>
      <c r="LV309" s="25"/>
      <c r="LW309" s="25"/>
      <c r="LX309" s="25"/>
      <c r="LY309" s="25"/>
      <c r="LZ309" s="25"/>
      <c r="MA309" s="25"/>
      <c r="MB309" s="25"/>
      <c r="MC309" s="25"/>
      <c r="MD309" s="25"/>
      <c r="ME309" s="25"/>
      <c r="MF309" s="25"/>
      <c r="MG309" s="25"/>
      <c r="MH309" s="25"/>
    </row>
    <row r="310" spans="1:346" s="26" customFormat="1">
      <c r="A310" s="21"/>
      <c r="B310" s="22"/>
      <c r="C310" s="4"/>
      <c r="D310" s="7"/>
      <c r="E310" s="7"/>
      <c r="F310" s="4"/>
      <c r="G310" s="4"/>
      <c r="H310" s="4"/>
      <c r="I310" s="77"/>
      <c r="J310" s="156"/>
      <c r="K310" s="77"/>
      <c r="L310" s="78"/>
      <c r="M310" s="78"/>
      <c r="N310" s="49"/>
      <c r="O310" s="49" t="e">
        <f>IF($E310="posto/hora extra",0,IF(OR(E310="posto/dia",E310="posto/dia líder"),VLOOKUP($C310,'Indicadores Financeiros'!$A$107:$J$119,8,FALSE)+VLOOKUP($C310,'Indicadores Financeiros'!$A$107:$J$119,9,FALSE)+VLOOKUP($C310,'Indicadores Financeiros'!$A$107:$J$119,10,FALSE),IF('Indicadores Financeiros'!$J$91=0,0,(VLOOKUP($C310,'Indicadores Financeiros'!$A$107:$J$119,9,FALSE)+VLOOKUP('Relatório Custo'!$C310,'Indicadores Financeiros'!$A$107:$J$119,10,FALSE)+('Indicadores Financeiros'!$J$87*'Relatório Custo'!$H310)))))</f>
        <v>#N/A</v>
      </c>
      <c r="P310" s="49"/>
      <c r="Q310" s="81"/>
      <c r="R310" s="81"/>
      <c r="S310" s="82"/>
      <c r="T310" s="47"/>
      <c r="U310" s="83"/>
      <c r="V310" s="24"/>
      <c r="W310" s="91"/>
      <c r="X310" s="20"/>
      <c r="Y310" s="114"/>
      <c r="Z310" s="43"/>
      <c r="AA310" s="41"/>
      <c r="AB310" s="25"/>
      <c r="AC310" s="23"/>
      <c r="AD310" s="23"/>
      <c r="AE310" s="154"/>
      <c r="AF310" s="155"/>
      <c r="AG310" s="155"/>
      <c r="AH310" s="31"/>
      <c r="AI310" s="31"/>
      <c r="AJ310" s="31"/>
      <c r="AK310" s="31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  <c r="IV310" s="25"/>
      <c r="IW310" s="25"/>
      <c r="IX310" s="25"/>
      <c r="IY310" s="25"/>
      <c r="IZ310" s="25"/>
      <c r="JA310" s="25"/>
      <c r="JB310" s="25"/>
      <c r="JC310" s="25"/>
      <c r="JD310" s="25"/>
      <c r="JE310" s="25"/>
      <c r="JF310" s="25"/>
      <c r="JG310" s="25"/>
      <c r="JH310" s="25"/>
      <c r="JI310" s="25"/>
      <c r="JJ310" s="25"/>
      <c r="JK310" s="25"/>
      <c r="JL310" s="25"/>
      <c r="JM310" s="25"/>
      <c r="JN310" s="25"/>
      <c r="JO310" s="25"/>
      <c r="JP310" s="25"/>
      <c r="JQ310" s="25"/>
      <c r="JR310" s="25"/>
      <c r="JS310" s="25"/>
      <c r="JT310" s="25"/>
      <c r="JU310" s="25"/>
      <c r="JV310" s="25"/>
      <c r="JW310" s="25"/>
      <c r="JX310" s="25"/>
      <c r="JY310" s="25"/>
      <c r="JZ310" s="25"/>
      <c r="KA310" s="25"/>
      <c r="KB310" s="25"/>
      <c r="KC310" s="25"/>
      <c r="KD310" s="25"/>
      <c r="KE310" s="25"/>
      <c r="KF310" s="25"/>
      <c r="KG310" s="25"/>
      <c r="KH310" s="25"/>
      <c r="KI310" s="25"/>
      <c r="KJ310" s="25"/>
      <c r="KK310" s="25"/>
      <c r="KL310" s="25"/>
      <c r="KM310" s="25"/>
      <c r="KN310" s="25"/>
      <c r="KO310" s="25"/>
      <c r="KP310" s="25"/>
      <c r="KQ310" s="25"/>
      <c r="KR310" s="25"/>
      <c r="KS310" s="25"/>
      <c r="KT310" s="25"/>
      <c r="KU310" s="25"/>
      <c r="KV310" s="25"/>
      <c r="KW310" s="25"/>
      <c r="KX310" s="25"/>
      <c r="KY310" s="25"/>
      <c r="KZ310" s="25"/>
      <c r="LA310" s="25"/>
      <c r="LB310" s="25"/>
      <c r="LC310" s="25"/>
      <c r="LD310" s="25"/>
      <c r="LE310" s="25"/>
      <c r="LF310" s="25"/>
      <c r="LG310" s="25"/>
      <c r="LH310" s="25"/>
      <c r="LI310" s="25"/>
      <c r="LJ310" s="25"/>
      <c r="LK310" s="25"/>
      <c r="LL310" s="25"/>
      <c r="LM310" s="25"/>
      <c r="LN310" s="25"/>
      <c r="LO310" s="25"/>
      <c r="LP310" s="25"/>
      <c r="LQ310" s="25"/>
      <c r="LR310" s="25"/>
      <c r="LS310" s="25"/>
      <c r="LT310" s="25"/>
      <c r="LU310" s="25"/>
      <c r="LV310" s="25"/>
      <c r="LW310" s="25"/>
      <c r="LX310" s="25"/>
      <c r="LY310" s="25"/>
      <c r="LZ310" s="25"/>
      <c r="MA310" s="25"/>
      <c r="MB310" s="25"/>
      <c r="MC310" s="25"/>
      <c r="MD310" s="25"/>
      <c r="ME310" s="25"/>
      <c r="MF310" s="25"/>
      <c r="MG310" s="25"/>
      <c r="MH310" s="25"/>
    </row>
    <row r="311" spans="1:346" s="26" customFormat="1">
      <c r="A311" s="21"/>
      <c r="B311" s="22"/>
      <c r="C311" s="4"/>
      <c r="D311" s="7"/>
      <c r="E311" s="7"/>
      <c r="F311" s="4"/>
      <c r="G311" s="4"/>
      <c r="H311" s="4"/>
      <c r="I311" s="77"/>
      <c r="J311" s="156"/>
      <c r="K311" s="77"/>
      <c r="L311" s="78"/>
      <c r="M311" s="78"/>
      <c r="N311" s="49"/>
      <c r="O311" s="49" t="e">
        <f>IF($E311="posto/hora extra",0,IF(OR(E311="posto/dia",E311="posto/dia líder"),VLOOKUP($C311,'Indicadores Financeiros'!$A$107:$J$119,8,FALSE)+VLOOKUP($C311,'Indicadores Financeiros'!$A$107:$J$119,9,FALSE)+VLOOKUP($C311,'Indicadores Financeiros'!$A$107:$J$119,10,FALSE),IF('Indicadores Financeiros'!$J$91=0,0,(VLOOKUP($C311,'Indicadores Financeiros'!$A$107:$J$119,9,FALSE)+VLOOKUP('Relatório Custo'!$C311,'Indicadores Financeiros'!$A$107:$J$119,10,FALSE)+('Indicadores Financeiros'!$J$87*'Relatório Custo'!$H311)))))</f>
        <v>#N/A</v>
      </c>
      <c r="P311" s="49"/>
      <c r="Q311" s="81"/>
      <c r="R311" s="81"/>
      <c r="S311" s="82"/>
      <c r="T311" s="47"/>
      <c r="U311" s="83"/>
      <c r="V311" s="24"/>
      <c r="W311" s="91"/>
      <c r="X311" s="20"/>
      <c r="Y311" s="114"/>
      <c r="Z311" s="43"/>
      <c r="AA311" s="41"/>
      <c r="AB311" s="25"/>
      <c r="AC311" s="23"/>
      <c r="AD311" s="23"/>
      <c r="AE311" s="154"/>
      <c r="AF311" s="155"/>
      <c r="AG311" s="155"/>
      <c r="AH311" s="31"/>
      <c r="AI311" s="31"/>
      <c r="AJ311" s="31"/>
      <c r="AK311" s="31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  <c r="IW311" s="25"/>
      <c r="IX311" s="25"/>
      <c r="IY311" s="25"/>
      <c r="IZ311" s="25"/>
      <c r="JA311" s="25"/>
      <c r="JB311" s="25"/>
      <c r="JC311" s="25"/>
      <c r="JD311" s="25"/>
      <c r="JE311" s="25"/>
      <c r="JF311" s="25"/>
      <c r="JG311" s="25"/>
      <c r="JH311" s="25"/>
      <c r="JI311" s="25"/>
      <c r="JJ311" s="25"/>
      <c r="JK311" s="25"/>
      <c r="JL311" s="25"/>
      <c r="JM311" s="25"/>
      <c r="JN311" s="25"/>
      <c r="JO311" s="25"/>
      <c r="JP311" s="25"/>
      <c r="JQ311" s="25"/>
      <c r="JR311" s="25"/>
      <c r="JS311" s="25"/>
      <c r="JT311" s="25"/>
      <c r="JU311" s="25"/>
      <c r="JV311" s="25"/>
      <c r="JW311" s="25"/>
      <c r="JX311" s="25"/>
      <c r="JY311" s="25"/>
      <c r="JZ311" s="25"/>
      <c r="KA311" s="25"/>
      <c r="KB311" s="25"/>
      <c r="KC311" s="25"/>
      <c r="KD311" s="25"/>
      <c r="KE311" s="25"/>
      <c r="KF311" s="25"/>
      <c r="KG311" s="25"/>
      <c r="KH311" s="25"/>
      <c r="KI311" s="25"/>
      <c r="KJ311" s="25"/>
      <c r="KK311" s="25"/>
      <c r="KL311" s="25"/>
      <c r="KM311" s="25"/>
      <c r="KN311" s="25"/>
      <c r="KO311" s="25"/>
      <c r="KP311" s="25"/>
      <c r="KQ311" s="25"/>
      <c r="KR311" s="25"/>
      <c r="KS311" s="25"/>
      <c r="KT311" s="25"/>
      <c r="KU311" s="25"/>
      <c r="KV311" s="25"/>
      <c r="KW311" s="25"/>
      <c r="KX311" s="25"/>
      <c r="KY311" s="25"/>
      <c r="KZ311" s="25"/>
      <c r="LA311" s="25"/>
      <c r="LB311" s="25"/>
      <c r="LC311" s="25"/>
      <c r="LD311" s="25"/>
      <c r="LE311" s="25"/>
      <c r="LF311" s="25"/>
      <c r="LG311" s="25"/>
      <c r="LH311" s="25"/>
      <c r="LI311" s="25"/>
      <c r="LJ311" s="25"/>
      <c r="LK311" s="25"/>
      <c r="LL311" s="25"/>
      <c r="LM311" s="25"/>
      <c r="LN311" s="25"/>
      <c r="LO311" s="25"/>
      <c r="LP311" s="25"/>
      <c r="LQ311" s="25"/>
      <c r="LR311" s="25"/>
      <c r="LS311" s="25"/>
      <c r="LT311" s="25"/>
      <c r="LU311" s="25"/>
      <c r="LV311" s="25"/>
      <c r="LW311" s="25"/>
      <c r="LX311" s="25"/>
      <c r="LY311" s="25"/>
      <c r="LZ311" s="25"/>
      <c r="MA311" s="25"/>
      <c r="MB311" s="25"/>
      <c r="MC311" s="25"/>
      <c r="MD311" s="25"/>
      <c r="ME311" s="25"/>
      <c r="MF311" s="25"/>
      <c r="MG311" s="25"/>
      <c r="MH311" s="25"/>
    </row>
    <row r="312" spans="1:346" s="26" customFormat="1">
      <c r="A312" s="21"/>
      <c r="B312" s="22"/>
      <c r="C312" s="4"/>
      <c r="D312" s="7"/>
      <c r="E312" s="7"/>
      <c r="F312" s="4"/>
      <c r="G312" s="4"/>
      <c r="H312" s="4"/>
      <c r="I312" s="77"/>
      <c r="J312" s="156"/>
      <c r="K312" s="77"/>
      <c r="L312" s="78"/>
      <c r="M312" s="78"/>
      <c r="N312" s="49"/>
      <c r="O312" s="49" t="e">
        <f>IF($E312="posto/hora extra",0,IF(OR(E312="posto/dia",E312="posto/dia líder"),VLOOKUP($C312,'Indicadores Financeiros'!$A$107:$J$119,8,FALSE)+VLOOKUP($C312,'Indicadores Financeiros'!$A$107:$J$119,9,FALSE)+VLOOKUP($C312,'Indicadores Financeiros'!$A$107:$J$119,10,FALSE),IF('Indicadores Financeiros'!$J$91=0,0,(VLOOKUP($C312,'Indicadores Financeiros'!$A$107:$J$119,9,FALSE)+VLOOKUP('Relatório Custo'!$C312,'Indicadores Financeiros'!$A$107:$J$119,10,FALSE)+('Indicadores Financeiros'!$J$87*'Relatório Custo'!$H312)))))</f>
        <v>#N/A</v>
      </c>
      <c r="P312" s="49"/>
      <c r="Q312" s="81"/>
      <c r="R312" s="81"/>
      <c r="S312" s="82"/>
      <c r="T312" s="47"/>
      <c r="U312" s="83"/>
      <c r="V312" s="24"/>
      <c r="W312" s="91"/>
      <c r="X312" s="20"/>
      <c r="Y312" s="114"/>
      <c r="Z312" s="43"/>
      <c r="AA312" s="41"/>
      <c r="AB312" s="25"/>
      <c r="AC312" s="23"/>
      <c r="AD312" s="23"/>
      <c r="AE312" s="154"/>
      <c r="AF312" s="155"/>
      <c r="AG312" s="155"/>
      <c r="AH312" s="31"/>
      <c r="AI312" s="31"/>
      <c r="AJ312" s="31"/>
      <c r="AK312" s="31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  <c r="IV312" s="25"/>
      <c r="IW312" s="25"/>
      <c r="IX312" s="25"/>
      <c r="IY312" s="25"/>
      <c r="IZ312" s="25"/>
      <c r="JA312" s="25"/>
      <c r="JB312" s="25"/>
      <c r="JC312" s="25"/>
      <c r="JD312" s="25"/>
      <c r="JE312" s="25"/>
      <c r="JF312" s="25"/>
      <c r="JG312" s="25"/>
      <c r="JH312" s="25"/>
      <c r="JI312" s="25"/>
      <c r="JJ312" s="25"/>
      <c r="JK312" s="25"/>
      <c r="JL312" s="25"/>
      <c r="JM312" s="25"/>
      <c r="JN312" s="25"/>
      <c r="JO312" s="25"/>
      <c r="JP312" s="25"/>
      <c r="JQ312" s="25"/>
      <c r="JR312" s="25"/>
      <c r="JS312" s="25"/>
      <c r="JT312" s="25"/>
      <c r="JU312" s="25"/>
      <c r="JV312" s="25"/>
      <c r="JW312" s="25"/>
      <c r="JX312" s="25"/>
      <c r="JY312" s="25"/>
      <c r="JZ312" s="25"/>
      <c r="KA312" s="25"/>
      <c r="KB312" s="25"/>
      <c r="KC312" s="25"/>
      <c r="KD312" s="25"/>
      <c r="KE312" s="25"/>
      <c r="KF312" s="25"/>
      <c r="KG312" s="25"/>
      <c r="KH312" s="25"/>
      <c r="KI312" s="25"/>
      <c r="KJ312" s="25"/>
      <c r="KK312" s="25"/>
      <c r="KL312" s="25"/>
      <c r="KM312" s="25"/>
      <c r="KN312" s="25"/>
      <c r="KO312" s="25"/>
      <c r="KP312" s="25"/>
      <c r="KQ312" s="25"/>
      <c r="KR312" s="25"/>
      <c r="KS312" s="25"/>
      <c r="KT312" s="25"/>
      <c r="KU312" s="25"/>
      <c r="KV312" s="25"/>
      <c r="KW312" s="25"/>
      <c r="KX312" s="25"/>
      <c r="KY312" s="25"/>
      <c r="KZ312" s="25"/>
      <c r="LA312" s="25"/>
      <c r="LB312" s="25"/>
      <c r="LC312" s="25"/>
      <c r="LD312" s="25"/>
      <c r="LE312" s="25"/>
      <c r="LF312" s="25"/>
      <c r="LG312" s="25"/>
      <c r="LH312" s="25"/>
      <c r="LI312" s="25"/>
      <c r="LJ312" s="25"/>
      <c r="LK312" s="25"/>
      <c r="LL312" s="25"/>
      <c r="LM312" s="25"/>
      <c r="LN312" s="25"/>
      <c r="LO312" s="25"/>
      <c r="LP312" s="25"/>
      <c r="LQ312" s="25"/>
      <c r="LR312" s="25"/>
      <c r="LS312" s="25"/>
      <c r="LT312" s="25"/>
      <c r="LU312" s="25"/>
      <c r="LV312" s="25"/>
      <c r="LW312" s="25"/>
      <c r="LX312" s="25"/>
      <c r="LY312" s="25"/>
      <c r="LZ312" s="25"/>
      <c r="MA312" s="25"/>
      <c r="MB312" s="25"/>
      <c r="MC312" s="25"/>
      <c r="MD312" s="25"/>
      <c r="ME312" s="25"/>
      <c r="MF312" s="25"/>
      <c r="MG312" s="25"/>
      <c r="MH312" s="25"/>
    </row>
    <row r="313" spans="1:346" s="26" customFormat="1">
      <c r="A313" s="21"/>
      <c r="B313" s="22"/>
      <c r="C313" s="4"/>
      <c r="D313" s="7"/>
      <c r="E313" s="7"/>
      <c r="F313" s="4"/>
      <c r="G313" s="4"/>
      <c r="H313" s="4"/>
      <c r="I313" s="77"/>
      <c r="J313" s="156"/>
      <c r="K313" s="77"/>
      <c r="L313" s="78"/>
      <c r="M313" s="78"/>
      <c r="N313" s="49"/>
      <c r="O313" s="49" t="e">
        <f>IF($E313="posto/hora extra",0,IF(OR(E313="posto/dia",E313="posto/dia líder"),VLOOKUP($C313,'Indicadores Financeiros'!$A$107:$J$119,8,FALSE)+VLOOKUP($C313,'Indicadores Financeiros'!$A$107:$J$119,9,FALSE)+VLOOKUP($C313,'Indicadores Financeiros'!$A$107:$J$119,10,FALSE),IF('Indicadores Financeiros'!$J$91=0,0,(VLOOKUP($C313,'Indicadores Financeiros'!$A$107:$J$119,9,FALSE)+VLOOKUP('Relatório Custo'!$C313,'Indicadores Financeiros'!$A$107:$J$119,10,FALSE)+('Indicadores Financeiros'!$J$87*'Relatório Custo'!$H313)))))</f>
        <v>#N/A</v>
      </c>
      <c r="P313" s="49"/>
      <c r="Q313" s="81"/>
      <c r="R313" s="81"/>
      <c r="S313" s="82"/>
      <c r="T313" s="47"/>
      <c r="U313" s="83"/>
      <c r="V313" s="24"/>
      <c r="W313" s="91"/>
      <c r="X313" s="20"/>
      <c r="Y313" s="114"/>
      <c r="Z313" s="43"/>
      <c r="AA313" s="41"/>
      <c r="AB313" s="25"/>
      <c r="AC313" s="23"/>
      <c r="AD313" s="23"/>
      <c r="AE313" s="154"/>
      <c r="AF313" s="155"/>
      <c r="AG313" s="155"/>
      <c r="AH313" s="31"/>
      <c r="AI313" s="31"/>
      <c r="AJ313" s="31"/>
      <c r="AK313" s="31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  <c r="IV313" s="25"/>
      <c r="IW313" s="25"/>
      <c r="IX313" s="25"/>
      <c r="IY313" s="25"/>
      <c r="IZ313" s="25"/>
      <c r="JA313" s="25"/>
      <c r="JB313" s="25"/>
      <c r="JC313" s="25"/>
      <c r="JD313" s="25"/>
      <c r="JE313" s="25"/>
      <c r="JF313" s="25"/>
      <c r="JG313" s="25"/>
      <c r="JH313" s="25"/>
      <c r="JI313" s="25"/>
      <c r="JJ313" s="25"/>
      <c r="JK313" s="25"/>
      <c r="JL313" s="25"/>
      <c r="JM313" s="25"/>
      <c r="JN313" s="25"/>
      <c r="JO313" s="25"/>
      <c r="JP313" s="25"/>
      <c r="JQ313" s="25"/>
      <c r="JR313" s="25"/>
      <c r="JS313" s="25"/>
      <c r="JT313" s="25"/>
      <c r="JU313" s="25"/>
      <c r="JV313" s="25"/>
      <c r="JW313" s="25"/>
      <c r="JX313" s="25"/>
      <c r="JY313" s="25"/>
      <c r="JZ313" s="25"/>
      <c r="KA313" s="25"/>
      <c r="KB313" s="25"/>
      <c r="KC313" s="25"/>
      <c r="KD313" s="25"/>
      <c r="KE313" s="25"/>
      <c r="KF313" s="25"/>
      <c r="KG313" s="25"/>
      <c r="KH313" s="25"/>
      <c r="KI313" s="25"/>
      <c r="KJ313" s="25"/>
      <c r="KK313" s="25"/>
      <c r="KL313" s="25"/>
      <c r="KM313" s="25"/>
      <c r="KN313" s="25"/>
      <c r="KO313" s="25"/>
      <c r="KP313" s="25"/>
      <c r="KQ313" s="25"/>
      <c r="KR313" s="25"/>
      <c r="KS313" s="25"/>
      <c r="KT313" s="25"/>
      <c r="KU313" s="25"/>
      <c r="KV313" s="25"/>
      <c r="KW313" s="25"/>
      <c r="KX313" s="25"/>
      <c r="KY313" s="25"/>
      <c r="KZ313" s="25"/>
      <c r="LA313" s="25"/>
      <c r="LB313" s="25"/>
      <c r="LC313" s="25"/>
      <c r="LD313" s="25"/>
      <c r="LE313" s="25"/>
      <c r="LF313" s="25"/>
      <c r="LG313" s="25"/>
      <c r="LH313" s="25"/>
      <c r="LI313" s="25"/>
      <c r="LJ313" s="25"/>
      <c r="LK313" s="25"/>
      <c r="LL313" s="25"/>
      <c r="LM313" s="25"/>
      <c r="LN313" s="25"/>
      <c r="LO313" s="25"/>
      <c r="LP313" s="25"/>
      <c r="LQ313" s="25"/>
      <c r="LR313" s="25"/>
      <c r="LS313" s="25"/>
      <c r="LT313" s="25"/>
      <c r="LU313" s="25"/>
      <c r="LV313" s="25"/>
      <c r="LW313" s="25"/>
      <c r="LX313" s="25"/>
      <c r="LY313" s="25"/>
      <c r="LZ313" s="25"/>
      <c r="MA313" s="25"/>
      <c r="MB313" s="25"/>
      <c r="MC313" s="25"/>
      <c r="MD313" s="25"/>
      <c r="ME313" s="25"/>
      <c r="MF313" s="25"/>
      <c r="MG313" s="25"/>
      <c r="MH313" s="25"/>
    </row>
    <row r="314" spans="1:346" s="26" customFormat="1">
      <c r="A314" s="21"/>
      <c r="B314" s="22"/>
      <c r="C314" s="4"/>
      <c r="D314" s="7"/>
      <c r="E314" s="7"/>
      <c r="F314" s="4"/>
      <c r="G314" s="4"/>
      <c r="H314" s="4"/>
      <c r="I314" s="77"/>
      <c r="J314" s="156"/>
      <c r="K314" s="77"/>
      <c r="L314" s="78"/>
      <c r="M314" s="78"/>
      <c r="N314" s="49"/>
      <c r="O314" s="49" t="e">
        <f>IF($E314="posto/hora extra",0,IF(OR(E314="posto/dia",E314="posto/dia líder"),VLOOKUP($C314,'Indicadores Financeiros'!$A$107:$J$119,8,FALSE)+VLOOKUP($C314,'Indicadores Financeiros'!$A$107:$J$119,9,FALSE)+VLOOKUP($C314,'Indicadores Financeiros'!$A$107:$J$119,10,FALSE),IF('Indicadores Financeiros'!$J$91=0,0,(VLOOKUP($C314,'Indicadores Financeiros'!$A$107:$J$119,9,FALSE)+VLOOKUP('Relatório Custo'!$C314,'Indicadores Financeiros'!$A$107:$J$119,10,FALSE)+('Indicadores Financeiros'!$J$87*'Relatório Custo'!$H314)))))</f>
        <v>#N/A</v>
      </c>
      <c r="P314" s="49"/>
      <c r="Q314" s="81"/>
      <c r="R314" s="81"/>
      <c r="S314" s="82"/>
      <c r="T314" s="47"/>
      <c r="U314" s="83"/>
      <c r="V314" s="24"/>
      <c r="W314" s="91"/>
      <c r="X314" s="20"/>
      <c r="Y314" s="114"/>
      <c r="Z314" s="43"/>
      <c r="AA314" s="41"/>
      <c r="AB314" s="25"/>
      <c r="AC314" s="23"/>
      <c r="AD314" s="23"/>
      <c r="AE314" s="154"/>
      <c r="AF314" s="155"/>
      <c r="AG314" s="155"/>
      <c r="AH314" s="31"/>
      <c r="AI314" s="31"/>
      <c r="AJ314" s="31"/>
      <c r="AK314" s="31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  <c r="IV314" s="25"/>
      <c r="IW314" s="25"/>
      <c r="IX314" s="25"/>
      <c r="IY314" s="25"/>
      <c r="IZ314" s="25"/>
      <c r="JA314" s="25"/>
      <c r="JB314" s="25"/>
      <c r="JC314" s="25"/>
      <c r="JD314" s="25"/>
      <c r="JE314" s="25"/>
      <c r="JF314" s="25"/>
      <c r="JG314" s="25"/>
      <c r="JH314" s="25"/>
      <c r="JI314" s="25"/>
      <c r="JJ314" s="25"/>
      <c r="JK314" s="25"/>
      <c r="JL314" s="25"/>
      <c r="JM314" s="25"/>
      <c r="JN314" s="25"/>
      <c r="JO314" s="25"/>
      <c r="JP314" s="25"/>
      <c r="JQ314" s="25"/>
      <c r="JR314" s="25"/>
      <c r="JS314" s="25"/>
      <c r="JT314" s="25"/>
      <c r="JU314" s="25"/>
      <c r="JV314" s="25"/>
      <c r="JW314" s="25"/>
      <c r="JX314" s="25"/>
      <c r="JY314" s="25"/>
      <c r="JZ314" s="25"/>
      <c r="KA314" s="25"/>
      <c r="KB314" s="25"/>
      <c r="KC314" s="25"/>
      <c r="KD314" s="25"/>
      <c r="KE314" s="25"/>
      <c r="KF314" s="25"/>
      <c r="KG314" s="25"/>
      <c r="KH314" s="25"/>
      <c r="KI314" s="25"/>
      <c r="KJ314" s="25"/>
      <c r="KK314" s="25"/>
      <c r="KL314" s="25"/>
      <c r="KM314" s="25"/>
      <c r="KN314" s="25"/>
      <c r="KO314" s="25"/>
      <c r="KP314" s="25"/>
      <c r="KQ314" s="25"/>
      <c r="KR314" s="25"/>
      <c r="KS314" s="25"/>
      <c r="KT314" s="25"/>
      <c r="KU314" s="25"/>
      <c r="KV314" s="25"/>
      <c r="KW314" s="25"/>
      <c r="KX314" s="25"/>
      <c r="KY314" s="25"/>
      <c r="KZ314" s="25"/>
      <c r="LA314" s="25"/>
      <c r="LB314" s="25"/>
      <c r="LC314" s="25"/>
      <c r="LD314" s="25"/>
      <c r="LE314" s="25"/>
      <c r="LF314" s="25"/>
      <c r="LG314" s="25"/>
      <c r="LH314" s="25"/>
      <c r="LI314" s="25"/>
      <c r="LJ314" s="25"/>
      <c r="LK314" s="25"/>
      <c r="LL314" s="25"/>
      <c r="LM314" s="25"/>
      <c r="LN314" s="25"/>
      <c r="LO314" s="25"/>
      <c r="LP314" s="25"/>
      <c r="LQ314" s="25"/>
      <c r="LR314" s="25"/>
      <c r="LS314" s="25"/>
      <c r="LT314" s="25"/>
      <c r="LU314" s="25"/>
      <c r="LV314" s="25"/>
      <c r="LW314" s="25"/>
      <c r="LX314" s="25"/>
      <c r="LY314" s="25"/>
      <c r="LZ314" s="25"/>
      <c r="MA314" s="25"/>
      <c r="MB314" s="25"/>
      <c r="MC314" s="25"/>
      <c r="MD314" s="25"/>
      <c r="ME314" s="25"/>
      <c r="MF314" s="25"/>
      <c r="MG314" s="25"/>
      <c r="MH314" s="25"/>
    </row>
    <row r="315" spans="1:346" s="26" customFormat="1">
      <c r="A315" s="21"/>
      <c r="B315" s="22"/>
      <c r="C315" s="4"/>
      <c r="D315" s="7"/>
      <c r="E315" s="7"/>
      <c r="F315" s="4"/>
      <c r="G315" s="4"/>
      <c r="H315" s="4"/>
      <c r="I315" s="77"/>
      <c r="J315" s="156"/>
      <c r="K315" s="77"/>
      <c r="L315" s="78"/>
      <c r="M315" s="78"/>
      <c r="N315" s="49"/>
      <c r="O315" s="49" t="e">
        <f>IF($E315="posto/hora extra",0,IF(OR(E315="posto/dia",E315="posto/dia líder"),VLOOKUP($C315,'Indicadores Financeiros'!$A$107:$J$119,8,FALSE)+VLOOKUP($C315,'Indicadores Financeiros'!$A$107:$J$119,9,FALSE)+VLOOKUP($C315,'Indicadores Financeiros'!$A$107:$J$119,10,FALSE),IF('Indicadores Financeiros'!$J$91=0,0,(VLOOKUP($C315,'Indicadores Financeiros'!$A$107:$J$119,9,FALSE)+VLOOKUP('Relatório Custo'!$C315,'Indicadores Financeiros'!$A$107:$J$119,10,FALSE)+('Indicadores Financeiros'!$J$87*'Relatório Custo'!$H315)))))</f>
        <v>#N/A</v>
      </c>
      <c r="P315" s="49"/>
      <c r="Q315" s="81"/>
      <c r="R315" s="81"/>
      <c r="S315" s="82"/>
      <c r="T315" s="47"/>
      <c r="U315" s="83"/>
      <c r="V315" s="24"/>
      <c r="W315" s="91"/>
      <c r="X315" s="20"/>
      <c r="Y315" s="114"/>
      <c r="Z315" s="43"/>
      <c r="AA315" s="41"/>
      <c r="AB315" s="25"/>
      <c r="AC315" s="23"/>
      <c r="AD315" s="23"/>
      <c r="AE315" s="154"/>
      <c r="AF315" s="155"/>
      <c r="AG315" s="155"/>
      <c r="AH315" s="31"/>
      <c r="AI315" s="31"/>
      <c r="AJ315" s="31"/>
      <c r="AK315" s="31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  <c r="IV315" s="25"/>
      <c r="IW315" s="25"/>
      <c r="IX315" s="25"/>
      <c r="IY315" s="25"/>
      <c r="IZ315" s="25"/>
      <c r="JA315" s="25"/>
      <c r="JB315" s="25"/>
      <c r="JC315" s="25"/>
      <c r="JD315" s="25"/>
      <c r="JE315" s="25"/>
      <c r="JF315" s="25"/>
      <c r="JG315" s="25"/>
      <c r="JH315" s="25"/>
      <c r="JI315" s="25"/>
      <c r="JJ315" s="25"/>
      <c r="JK315" s="25"/>
      <c r="JL315" s="25"/>
      <c r="JM315" s="25"/>
      <c r="JN315" s="25"/>
      <c r="JO315" s="25"/>
      <c r="JP315" s="25"/>
      <c r="JQ315" s="25"/>
      <c r="JR315" s="25"/>
      <c r="JS315" s="25"/>
      <c r="JT315" s="25"/>
      <c r="JU315" s="25"/>
      <c r="JV315" s="25"/>
      <c r="JW315" s="25"/>
      <c r="JX315" s="25"/>
      <c r="JY315" s="25"/>
      <c r="JZ315" s="25"/>
      <c r="KA315" s="25"/>
      <c r="KB315" s="25"/>
      <c r="KC315" s="25"/>
      <c r="KD315" s="25"/>
      <c r="KE315" s="25"/>
      <c r="KF315" s="25"/>
      <c r="KG315" s="25"/>
      <c r="KH315" s="25"/>
      <c r="KI315" s="25"/>
      <c r="KJ315" s="25"/>
      <c r="KK315" s="25"/>
      <c r="KL315" s="25"/>
      <c r="KM315" s="25"/>
      <c r="KN315" s="25"/>
      <c r="KO315" s="25"/>
      <c r="KP315" s="25"/>
      <c r="KQ315" s="25"/>
      <c r="KR315" s="25"/>
      <c r="KS315" s="25"/>
      <c r="KT315" s="25"/>
      <c r="KU315" s="25"/>
      <c r="KV315" s="25"/>
      <c r="KW315" s="25"/>
      <c r="KX315" s="25"/>
      <c r="KY315" s="25"/>
      <c r="KZ315" s="25"/>
      <c r="LA315" s="25"/>
      <c r="LB315" s="25"/>
      <c r="LC315" s="25"/>
      <c r="LD315" s="25"/>
      <c r="LE315" s="25"/>
      <c r="LF315" s="25"/>
      <c r="LG315" s="25"/>
      <c r="LH315" s="25"/>
      <c r="LI315" s="25"/>
      <c r="LJ315" s="25"/>
      <c r="LK315" s="25"/>
      <c r="LL315" s="25"/>
      <c r="LM315" s="25"/>
      <c r="LN315" s="25"/>
      <c r="LO315" s="25"/>
      <c r="LP315" s="25"/>
      <c r="LQ315" s="25"/>
      <c r="LR315" s="25"/>
      <c r="LS315" s="25"/>
      <c r="LT315" s="25"/>
      <c r="LU315" s="25"/>
      <c r="LV315" s="25"/>
      <c r="LW315" s="25"/>
      <c r="LX315" s="25"/>
      <c r="LY315" s="25"/>
      <c r="LZ315" s="25"/>
      <c r="MA315" s="25"/>
      <c r="MB315" s="25"/>
      <c r="MC315" s="25"/>
      <c r="MD315" s="25"/>
      <c r="ME315" s="25"/>
      <c r="MF315" s="25"/>
      <c r="MG315" s="25"/>
      <c r="MH315" s="25"/>
    </row>
    <row r="316" spans="1:346" s="26" customFormat="1">
      <c r="A316" s="21"/>
      <c r="B316" s="22"/>
      <c r="C316" s="4"/>
      <c r="D316" s="7"/>
      <c r="E316" s="7"/>
      <c r="F316" s="4"/>
      <c r="G316" s="4"/>
      <c r="H316" s="4"/>
      <c r="I316" s="77"/>
      <c r="J316" s="156"/>
      <c r="K316" s="77"/>
      <c r="L316" s="78"/>
      <c r="M316" s="78"/>
      <c r="N316" s="49"/>
      <c r="O316" s="49" t="e">
        <f>IF($E316="posto/hora extra",0,IF(OR(E316="posto/dia",E316="posto/dia líder"),VLOOKUP($C316,'Indicadores Financeiros'!$A$107:$J$119,8,FALSE)+VLOOKUP($C316,'Indicadores Financeiros'!$A$107:$J$119,9,FALSE)+VLOOKUP($C316,'Indicadores Financeiros'!$A$107:$J$119,10,FALSE),IF('Indicadores Financeiros'!$J$91=0,0,(VLOOKUP($C316,'Indicadores Financeiros'!$A$107:$J$119,9,FALSE)+VLOOKUP('Relatório Custo'!$C316,'Indicadores Financeiros'!$A$107:$J$119,10,FALSE)+('Indicadores Financeiros'!$J$87*'Relatório Custo'!$H316)))))</f>
        <v>#N/A</v>
      </c>
      <c r="P316" s="49"/>
      <c r="Q316" s="81"/>
      <c r="R316" s="81"/>
      <c r="S316" s="82"/>
      <c r="T316" s="47"/>
      <c r="U316" s="83"/>
      <c r="V316" s="24"/>
      <c r="W316" s="91"/>
      <c r="X316" s="20"/>
      <c r="Y316" s="114"/>
      <c r="Z316" s="43"/>
      <c r="AA316" s="41"/>
      <c r="AB316" s="25"/>
      <c r="AC316" s="23"/>
      <c r="AD316" s="23"/>
      <c r="AE316" s="154"/>
      <c r="AF316" s="155"/>
      <c r="AG316" s="155"/>
      <c r="AH316" s="31"/>
      <c r="AI316" s="31"/>
      <c r="AJ316" s="31"/>
      <c r="AK316" s="31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  <c r="IV316" s="25"/>
      <c r="IW316" s="25"/>
      <c r="IX316" s="25"/>
      <c r="IY316" s="25"/>
      <c r="IZ316" s="25"/>
      <c r="JA316" s="25"/>
      <c r="JB316" s="25"/>
      <c r="JC316" s="25"/>
      <c r="JD316" s="25"/>
      <c r="JE316" s="25"/>
      <c r="JF316" s="25"/>
      <c r="JG316" s="25"/>
      <c r="JH316" s="25"/>
      <c r="JI316" s="25"/>
      <c r="JJ316" s="25"/>
      <c r="JK316" s="25"/>
      <c r="JL316" s="25"/>
      <c r="JM316" s="25"/>
      <c r="JN316" s="25"/>
      <c r="JO316" s="25"/>
      <c r="JP316" s="25"/>
      <c r="JQ316" s="25"/>
      <c r="JR316" s="25"/>
      <c r="JS316" s="25"/>
      <c r="JT316" s="25"/>
      <c r="JU316" s="25"/>
      <c r="JV316" s="25"/>
      <c r="JW316" s="25"/>
      <c r="JX316" s="25"/>
      <c r="JY316" s="25"/>
      <c r="JZ316" s="25"/>
      <c r="KA316" s="25"/>
      <c r="KB316" s="25"/>
      <c r="KC316" s="25"/>
      <c r="KD316" s="25"/>
      <c r="KE316" s="25"/>
      <c r="KF316" s="25"/>
      <c r="KG316" s="25"/>
      <c r="KH316" s="25"/>
      <c r="KI316" s="25"/>
      <c r="KJ316" s="25"/>
      <c r="KK316" s="25"/>
      <c r="KL316" s="25"/>
      <c r="KM316" s="25"/>
      <c r="KN316" s="25"/>
      <c r="KO316" s="25"/>
      <c r="KP316" s="25"/>
      <c r="KQ316" s="25"/>
      <c r="KR316" s="25"/>
      <c r="KS316" s="25"/>
      <c r="KT316" s="25"/>
      <c r="KU316" s="25"/>
      <c r="KV316" s="25"/>
      <c r="KW316" s="25"/>
      <c r="KX316" s="25"/>
      <c r="KY316" s="25"/>
      <c r="KZ316" s="25"/>
      <c r="LA316" s="25"/>
      <c r="LB316" s="25"/>
      <c r="LC316" s="25"/>
      <c r="LD316" s="25"/>
      <c r="LE316" s="25"/>
      <c r="LF316" s="25"/>
      <c r="LG316" s="25"/>
      <c r="LH316" s="25"/>
      <c r="LI316" s="25"/>
      <c r="LJ316" s="25"/>
      <c r="LK316" s="25"/>
      <c r="LL316" s="25"/>
      <c r="LM316" s="25"/>
      <c r="LN316" s="25"/>
      <c r="LO316" s="25"/>
      <c r="LP316" s="25"/>
      <c r="LQ316" s="25"/>
      <c r="LR316" s="25"/>
      <c r="LS316" s="25"/>
      <c r="LT316" s="25"/>
      <c r="LU316" s="25"/>
      <c r="LV316" s="25"/>
      <c r="LW316" s="25"/>
      <c r="LX316" s="25"/>
      <c r="LY316" s="25"/>
      <c r="LZ316" s="25"/>
      <c r="MA316" s="25"/>
      <c r="MB316" s="25"/>
      <c r="MC316" s="25"/>
      <c r="MD316" s="25"/>
      <c r="ME316" s="25"/>
      <c r="MF316" s="25"/>
      <c r="MG316" s="25"/>
      <c r="MH316" s="25"/>
    </row>
    <row r="317" spans="1:346" s="26" customFormat="1">
      <c r="A317" s="21"/>
      <c r="B317" s="22"/>
      <c r="C317" s="4"/>
      <c r="D317" s="7"/>
      <c r="E317" s="7"/>
      <c r="F317" s="4"/>
      <c r="G317" s="4"/>
      <c r="H317" s="4"/>
      <c r="I317" s="77"/>
      <c r="J317" s="156"/>
      <c r="K317" s="77"/>
      <c r="L317" s="78"/>
      <c r="M317" s="78"/>
      <c r="N317" s="49"/>
      <c r="O317" s="49" t="e">
        <f>IF($E317="posto/hora extra",0,IF(OR(E317="posto/dia",E317="posto/dia líder"),VLOOKUP($C317,'Indicadores Financeiros'!$A$107:$J$119,8,FALSE)+VLOOKUP($C317,'Indicadores Financeiros'!$A$107:$J$119,9,FALSE)+VLOOKUP($C317,'Indicadores Financeiros'!$A$107:$J$119,10,FALSE),IF('Indicadores Financeiros'!$J$91=0,0,(VLOOKUP($C317,'Indicadores Financeiros'!$A$107:$J$119,9,FALSE)+VLOOKUP('Relatório Custo'!$C317,'Indicadores Financeiros'!$A$107:$J$119,10,FALSE)+('Indicadores Financeiros'!$J$87*'Relatório Custo'!$H317)))))</f>
        <v>#N/A</v>
      </c>
      <c r="P317" s="49"/>
      <c r="Q317" s="81"/>
      <c r="R317" s="81"/>
      <c r="S317" s="82"/>
      <c r="T317" s="47"/>
      <c r="U317" s="83"/>
      <c r="V317" s="24"/>
      <c r="W317" s="91"/>
      <c r="X317" s="20"/>
      <c r="Y317" s="114"/>
      <c r="Z317" s="43"/>
      <c r="AA317" s="41"/>
      <c r="AB317" s="25"/>
      <c r="AC317" s="23"/>
      <c r="AD317" s="23"/>
      <c r="AE317" s="154"/>
      <c r="AF317" s="155"/>
      <c r="AG317" s="155"/>
      <c r="AH317" s="31"/>
      <c r="AI317" s="31"/>
      <c r="AJ317" s="31"/>
      <c r="AK317" s="31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  <c r="IV317" s="25"/>
      <c r="IW317" s="25"/>
      <c r="IX317" s="25"/>
      <c r="IY317" s="25"/>
      <c r="IZ317" s="25"/>
      <c r="JA317" s="25"/>
      <c r="JB317" s="25"/>
      <c r="JC317" s="25"/>
      <c r="JD317" s="25"/>
      <c r="JE317" s="25"/>
      <c r="JF317" s="25"/>
      <c r="JG317" s="25"/>
      <c r="JH317" s="25"/>
      <c r="JI317" s="25"/>
      <c r="JJ317" s="25"/>
      <c r="JK317" s="25"/>
      <c r="JL317" s="25"/>
      <c r="JM317" s="25"/>
      <c r="JN317" s="25"/>
      <c r="JO317" s="25"/>
      <c r="JP317" s="25"/>
      <c r="JQ317" s="25"/>
      <c r="JR317" s="25"/>
      <c r="JS317" s="25"/>
      <c r="JT317" s="25"/>
      <c r="JU317" s="25"/>
      <c r="JV317" s="25"/>
      <c r="JW317" s="25"/>
      <c r="JX317" s="25"/>
      <c r="JY317" s="25"/>
      <c r="JZ317" s="25"/>
      <c r="KA317" s="25"/>
      <c r="KB317" s="25"/>
      <c r="KC317" s="25"/>
      <c r="KD317" s="25"/>
      <c r="KE317" s="25"/>
      <c r="KF317" s="25"/>
      <c r="KG317" s="25"/>
      <c r="KH317" s="25"/>
      <c r="KI317" s="25"/>
      <c r="KJ317" s="25"/>
      <c r="KK317" s="25"/>
      <c r="KL317" s="25"/>
      <c r="KM317" s="25"/>
      <c r="KN317" s="25"/>
      <c r="KO317" s="25"/>
      <c r="KP317" s="25"/>
      <c r="KQ317" s="25"/>
      <c r="KR317" s="25"/>
      <c r="KS317" s="25"/>
      <c r="KT317" s="25"/>
      <c r="KU317" s="25"/>
      <c r="KV317" s="25"/>
      <c r="KW317" s="25"/>
      <c r="KX317" s="25"/>
      <c r="KY317" s="25"/>
      <c r="KZ317" s="25"/>
      <c r="LA317" s="25"/>
      <c r="LB317" s="25"/>
      <c r="LC317" s="25"/>
      <c r="LD317" s="25"/>
      <c r="LE317" s="25"/>
      <c r="LF317" s="25"/>
      <c r="LG317" s="25"/>
      <c r="LH317" s="25"/>
      <c r="LI317" s="25"/>
      <c r="LJ317" s="25"/>
      <c r="LK317" s="25"/>
      <c r="LL317" s="25"/>
      <c r="LM317" s="25"/>
      <c r="LN317" s="25"/>
      <c r="LO317" s="25"/>
      <c r="LP317" s="25"/>
      <c r="LQ317" s="25"/>
      <c r="LR317" s="25"/>
      <c r="LS317" s="25"/>
      <c r="LT317" s="25"/>
      <c r="LU317" s="25"/>
      <c r="LV317" s="25"/>
      <c r="LW317" s="25"/>
      <c r="LX317" s="25"/>
      <c r="LY317" s="25"/>
      <c r="LZ317" s="25"/>
      <c r="MA317" s="25"/>
      <c r="MB317" s="25"/>
      <c r="MC317" s="25"/>
      <c r="MD317" s="25"/>
      <c r="ME317" s="25"/>
      <c r="MF317" s="25"/>
      <c r="MG317" s="25"/>
      <c r="MH317" s="25"/>
    </row>
    <row r="318" spans="1:346" s="26" customFormat="1">
      <c r="A318" s="21"/>
      <c r="B318" s="22"/>
      <c r="C318" s="4"/>
      <c r="D318" s="7"/>
      <c r="E318" s="7"/>
      <c r="F318" s="4"/>
      <c r="G318" s="4"/>
      <c r="H318" s="4"/>
      <c r="I318" s="77"/>
      <c r="J318" s="156"/>
      <c r="K318" s="77"/>
      <c r="L318" s="78"/>
      <c r="M318" s="78"/>
      <c r="N318" s="49"/>
      <c r="O318" s="49" t="e">
        <f>IF($E318="posto/hora extra",0,IF(OR(E318="posto/dia",E318="posto/dia líder"),VLOOKUP($C318,'Indicadores Financeiros'!$A$107:$J$119,8,FALSE)+VLOOKUP($C318,'Indicadores Financeiros'!$A$107:$J$119,9,FALSE)+VLOOKUP($C318,'Indicadores Financeiros'!$A$107:$J$119,10,FALSE),IF('Indicadores Financeiros'!$J$91=0,0,(VLOOKUP($C318,'Indicadores Financeiros'!$A$107:$J$119,9,FALSE)+VLOOKUP('Relatório Custo'!$C318,'Indicadores Financeiros'!$A$107:$J$119,10,FALSE)+('Indicadores Financeiros'!$J$87*'Relatório Custo'!$H318)))))</f>
        <v>#N/A</v>
      </c>
      <c r="P318" s="49"/>
      <c r="Q318" s="81"/>
      <c r="R318" s="81"/>
      <c r="S318" s="82"/>
      <c r="T318" s="47"/>
      <c r="U318" s="83"/>
      <c r="V318" s="24"/>
      <c r="W318" s="91"/>
      <c r="X318" s="20"/>
      <c r="Y318" s="114"/>
      <c r="Z318" s="43"/>
      <c r="AA318" s="41"/>
      <c r="AB318" s="25"/>
      <c r="AC318" s="23"/>
      <c r="AD318" s="23"/>
      <c r="AE318" s="154"/>
      <c r="AF318" s="155"/>
      <c r="AG318" s="155"/>
      <c r="AH318" s="31"/>
      <c r="AI318" s="31"/>
      <c r="AJ318" s="31"/>
      <c r="AK318" s="31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  <c r="IW318" s="25"/>
      <c r="IX318" s="25"/>
      <c r="IY318" s="25"/>
      <c r="IZ318" s="25"/>
      <c r="JA318" s="25"/>
      <c r="JB318" s="25"/>
      <c r="JC318" s="25"/>
      <c r="JD318" s="25"/>
      <c r="JE318" s="25"/>
      <c r="JF318" s="25"/>
      <c r="JG318" s="25"/>
      <c r="JH318" s="25"/>
      <c r="JI318" s="25"/>
      <c r="JJ318" s="25"/>
      <c r="JK318" s="25"/>
      <c r="JL318" s="25"/>
      <c r="JM318" s="25"/>
      <c r="JN318" s="25"/>
      <c r="JO318" s="25"/>
      <c r="JP318" s="25"/>
      <c r="JQ318" s="25"/>
      <c r="JR318" s="25"/>
      <c r="JS318" s="25"/>
      <c r="JT318" s="25"/>
      <c r="JU318" s="25"/>
      <c r="JV318" s="25"/>
      <c r="JW318" s="25"/>
      <c r="JX318" s="25"/>
      <c r="JY318" s="25"/>
      <c r="JZ318" s="25"/>
      <c r="KA318" s="25"/>
      <c r="KB318" s="25"/>
      <c r="KC318" s="25"/>
      <c r="KD318" s="25"/>
      <c r="KE318" s="25"/>
      <c r="KF318" s="25"/>
      <c r="KG318" s="25"/>
      <c r="KH318" s="25"/>
      <c r="KI318" s="25"/>
      <c r="KJ318" s="25"/>
      <c r="KK318" s="25"/>
      <c r="KL318" s="25"/>
      <c r="KM318" s="25"/>
      <c r="KN318" s="25"/>
      <c r="KO318" s="25"/>
      <c r="KP318" s="25"/>
      <c r="KQ318" s="25"/>
      <c r="KR318" s="25"/>
      <c r="KS318" s="25"/>
      <c r="KT318" s="25"/>
      <c r="KU318" s="25"/>
      <c r="KV318" s="25"/>
      <c r="KW318" s="25"/>
      <c r="KX318" s="25"/>
      <c r="KY318" s="25"/>
      <c r="KZ318" s="25"/>
      <c r="LA318" s="25"/>
      <c r="LB318" s="25"/>
      <c r="LC318" s="25"/>
      <c r="LD318" s="25"/>
      <c r="LE318" s="25"/>
      <c r="LF318" s="25"/>
      <c r="LG318" s="25"/>
      <c r="LH318" s="25"/>
      <c r="LI318" s="25"/>
      <c r="LJ318" s="25"/>
      <c r="LK318" s="25"/>
      <c r="LL318" s="25"/>
      <c r="LM318" s="25"/>
      <c r="LN318" s="25"/>
      <c r="LO318" s="25"/>
      <c r="LP318" s="25"/>
      <c r="LQ318" s="25"/>
      <c r="LR318" s="25"/>
      <c r="LS318" s="25"/>
      <c r="LT318" s="25"/>
      <c r="LU318" s="25"/>
      <c r="LV318" s="25"/>
      <c r="LW318" s="25"/>
      <c r="LX318" s="25"/>
      <c r="LY318" s="25"/>
      <c r="LZ318" s="25"/>
      <c r="MA318" s="25"/>
      <c r="MB318" s="25"/>
      <c r="MC318" s="25"/>
      <c r="MD318" s="25"/>
      <c r="ME318" s="25"/>
      <c r="MF318" s="25"/>
      <c r="MG318" s="25"/>
      <c r="MH318" s="25"/>
    </row>
    <row r="319" spans="1:346" s="26" customFormat="1">
      <c r="A319" s="21"/>
      <c r="B319" s="22"/>
      <c r="C319" s="4"/>
      <c r="D319" s="7"/>
      <c r="E319" s="7"/>
      <c r="F319" s="4"/>
      <c r="G319" s="4"/>
      <c r="H319" s="4"/>
      <c r="I319" s="77"/>
      <c r="J319" s="156"/>
      <c r="K319" s="77"/>
      <c r="L319" s="78"/>
      <c r="M319" s="78"/>
      <c r="N319" s="49"/>
      <c r="O319" s="49" t="e">
        <f>IF($E319="posto/hora extra",0,IF(OR(E319="posto/dia",E319="posto/dia líder"),VLOOKUP($C319,'Indicadores Financeiros'!$A$107:$J$119,8,FALSE)+VLOOKUP($C319,'Indicadores Financeiros'!$A$107:$J$119,9,FALSE)+VLOOKUP($C319,'Indicadores Financeiros'!$A$107:$J$119,10,FALSE),IF('Indicadores Financeiros'!$J$91=0,0,(VLOOKUP($C319,'Indicadores Financeiros'!$A$107:$J$119,9,FALSE)+VLOOKUP('Relatório Custo'!$C319,'Indicadores Financeiros'!$A$107:$J$119,10,FALSE)+('Indicadores Financeiros'!$J$87*'Relatório Custo'!$H319)))))</f>
        <v>#N/A</v>
      </c>
      <c r="P319" s="49"/>
      <c r="Q319" s="81"/>
      <c r="R319" s="81"/>
      <c r="S319" s="82"/>
      <c r="T319" s="47"/>
      <c r="U319" s="83"/>
      <c r="V319" s="24"/>
      <c r="W319" s="91"/>
      <c r="X319" s="20"/>
      <c r="Y319" s="114"/>
      <c r="Z319" s="43"/>
      <c r="AA319" s="41"/>
      <c r="AB319" s="25"/>
      <c r="AC319" s="23"/>
      <c r="AD319" s="23"/>
      <c r="AE319" s="154"/>
      <c r="AF319" s="155"/>
      <c r="AG319" s="155"/>
      <c r="AH319" s="31"/>
      <c r="AI319" s="31"/>
      <c r="AJ319" s="31"/>
      <c r="AK319" s="31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  <c r="IV319" s="25"/>
      <c r="IW319" s="25"/>
      <c r="IX319" s="25"/>
      <c r="IY319" s="25"/>
      <c r="IZ319" s="25"/>
      <c r="JA319" s="25"/>
      <c r="JB319" s="25"/>
      <c r="JC319" s="25"/>
      <c r="JD319" s="25"/>
      <c r="JE319" s="25"/>
      <c r="JF319" s="25"/>
      <c r="JG319" s="25"/>
      <c r="JH319" s="25"/>
      <c r="JI319" s="25"/>
      <c r="JJ319" s="25"/>
      <c r="JK319" s="25"/>
      <c r="JL319" s="25"/>
      <c r="JM319" s="25"/>
      <c r="JN319" s="25"/>
      <c r="JO319" s="25"/>
      <c r="JP319" s="25"/>
      <c r="JQ319" s="25"/>
      <c r="JR319" s="25"/>
      <c r="JS319" s="25"/>
      <c r="JT319" s="25"/>
      <c r="JU319" s="25"/>
      <c r="JV319" s="25"/>
      <c r="JW319" s="25"/>
      <c r="JX319" s="25"/>
      <c r="JY319" s="25"/>
      <c r="JZ319" s="25"/>
      <c r="KA319" s="25"/>
      <c r="KB319" s="25"/>
      <c r="KC319" s="25"/>
      <c r="KD319" s="25"/>
      <c r="KE319" s="25"/>
      <c r="KF319" s="25"/>
      <c r="KG319" s="25"/>
      <c r="KH319" s="25"/>
      <c r="KI319" s="25"/>
      <c r="KJ319" s="25"/>
      <c r="KK319" s="25"/>
      <c r="KL319" s="25"/>
      <c r="KM319" s="25"/>
      <c r="KN319" s="25"/>
      <c r="KO319" s="25"/>
      <c r="KP319" s="25"/>
      <c r="KQ319" s="25"/>
      <c r="KR319" s="25"/>
      <c r="KS319" s="25"/>
      <c r="KT319" s="25"/>
      <c r="KU319" s="25"/>
      <c r="KV319" s="25"/>
      <c r="KW319" s="25"/>
      <c r="KX319" s="25"/>
      <c r="KY319" s="25"/>
      <c r="KZ319" s="25"/>
      <c r="LA319" s="25"/>
      <c r="LB319" s="25"/>
      <c r="LC319" s="25"/>
      <c r="LD319" s="25"/>
      <c r="LE319" s="25"/>
      <c r="LF319" s="25"/>
      <c r="LG319" s="25"/>
      <c r="LH319" s="25"/>
      <c r="LI319" s="25"/>
      <c r="LJ319" s="25"/>
      <c r="LK319" s="25"/>
      <c r="LL319" s="25"/>
      <c r="LM319" s="25"/>
      <c r="LN319" s="25"/>
      <c r="LO319" s="25"/>
      <c r="LP319" s="25"/>
      <c r="LQ319" s="25"/>
      <c r="LR319" s="25"/>
      <c r="LS319" s="25"/>
      <c r="LT319" s="25"/>
      <c r="LU319" s="25"/>
      <c r="LV319" s="25"/>
      <c r="LW319" s="25"/>
      <c r="LX319" s="25"/>
      <c r="LY319" s="25"/>
      <c r="LZ319" s="25"/>
      <c r="MA319" s="25"/>
      <c r="MB319" s="25"/>
      <c r="MC319" s="25"/>
      <c r="MD319" s="25"/>
      <c r="ME319" s="25"/>
      <c r="MF319" s="25"/>
      <c r="MG319" s="25"/>
      <c r="MH319" s="25"/>
    </row>
    <row r="320" spans="1:346" s="26" customFormat="1">
      <c r="A320" s="21"/>
      <c r="B320" s="22"/>
      <c r="C320" s="4"/>
      <c r="D320" s="7"/>
      <c r="E320" s="7"/>
      <c r="F320" s="4"/>
      <c r="G320" s="4"/>
      <c r="H320" s="4"/>
      <c r="I320" s="77"/>
      <c r="J320" s="156"/>
      <c r="K320" s="77"/>
      <c r="L320" s="78"/>
      <c r="M320" s="78"/>
      <c r="N320" s="49"/>
      <c r="O320" s="49" t="e">
        <f>IF($E320="posto/hora extra",0,IF(OR(E320="posto/dia",E320="posto/dia líder"),VLOOKUP($C320,'Indicadores Financeiros'!$A$107:$J$119,8,FALSE)+VLOOKUP($C320,'Indicadores Financeiros'!$A$107:$J$119,9,FALSE)+VLOOKUP($C320,'Indicadores Financeiros'!$A$107:$J$119,10,FALSE),IF('Indicadores Financeiros'!$J$91=0,0,(VLOOKUP($C320,'Indicadores Financeiros'!$A$107:$J$119,9,FALSE)+VLOOKUP('Relatório Custo'!$C320,'Indicadores Financeiros'!$A$107:$J$119,10,FALSE)+('Indicadores Financeiros'!$J$87*'Relatório Custo'!$H320)))))</f>
        <v>#N/A</v>
      </c>
      <c r="P320" s="49"/>
      <c r="Q320" s="81"/>
      <c r="R320" s="81"/>
      <c r="S320" s="82"/>
      <c r="T320" s="47"/>
      <c r="U320" s="83"/>
      <c r="V320" s="24"/>
      <c r="W320" s="91"/>
      <c r="X320" s="20"/>
      <c r="Y320" s="114"/>
      <c r="Z320" s="43"/>
      <c r="AA320" s="41"/>
      <c r="AB320" s="25"/>
      <c r="AC320" s="23"/>
      <c r="AD320" s="23"/>
      <c r="AE320" s="154"/>
      <c r="AF320" s="155"/>
      <c r="AG320" s="155"/>
      <c r="AH320" s="31"/>
      <c r="AI320" s="31"/>
      <c r="AJ320" s="31"/>
      <c r="AK320" s="31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  <c r="IV320" s="25"/>
      <c r="IW320" s="25"/>
      <c r="IX320" s="25"/>
      <c r="IY320" s="25"/>
      <c r="IZ320" s="25"/>
      <c r="JA320" s="25"/>
      <c r="JB320" s="25"/>
      <c r="JC320" s="25"/>
      <c r="JD320" s="25"/>
      <c r="JE320" s="25"/>
      <c r="JF320" s="25"/>
      <c r="JG320" s="25"/>
      <c r="JH320" s="25"/>
      <c r="JI320" s="25"/>
      <c r="JJ320" s="25"/>
      <c r="JK320" s="25"/>
      <c r="JL320" s="25"/>
      <c r="JM320" s="25"/>
      <c r="JN320" s="25"/>
      <c r="JO320" s="25"/>
      <c r="JP320" s="25"/>
      <c r="JQ320" s="25"/>
      <c r="JR320" s="25"/>
      <c r="JS320" s="25"/>
      <c r="JT320" s="25"/>
      <c r="JU320" s="25"/>
      <c r="JV320" s="25"/>
      <c r="JW320" s="25"/>
      <c r="JX320" s="25"/>
      <c r="JY320" s="25"/>
      <c r="JZ320" s="25"/>
      <c r="KA320" s="25"/>
      <c r="KB320" s="25"/>
      <c r="KC320" s="25"/>
      <c r="KD320" s="25"/>
      <c r="KE320" s="25"/>
      <c r="KF320" s="25"/>
      <c r="KG320" s="25"/>
      <c r="KH320" s="25"/>
      <c r="KI320" s="25"/>
      <c r="KJ320" s="25"/>
      <c r="KK320" s="25"/>
      <c r="KL320" s="25"/>
      <c r="KM320" s="25"/>
      <c r="KN320" s="25"/>
      <c r="KO320" s="25"/>
      <c r="KP320" s="25"/>
      <c r="KQ320" s="25"/>
      <c r="KR320" s="25"/>
      <c r="KS320" s="25"/>
      <c r="KT320" s="25"/>
      <c r="KU320" s="25"/>
      <c r="KV320" s="25"/>
      <c r="KW320" s="25"/>
      <c r="KX320" s="25"/>
      <c r="KY320" s="25"/>
      <c r="KZ320" s="25"/>
      <c r="LA320" s="25"/>
      <c r="LB320" s="25"/>
      <c r="LC320" s="25"/>
      <c r="LD320" s="25"/>
      <c r="LE320" s="25"/>
      <c r="LF320" s="25"/>
      <c r="LG320" s="25"/>
      <c r="LH320" s="25"/>
      <c r="LI320" s="25"/>
      <c r="LJ320" s="25"/>
      <c r="LK320" s="25"/>
      <c r="LL320" s="25"/>
      <c r="LM320" s="25"/>
      <c r="LN320" s="25"/>
      <c r="LO320" s="25"/>
      <c r="LP320" s="25"/>
      <c r="LQ320" s="25"/>
      <c r="LR320" s="25"/>
      <c r="LS320" s="25"/>
      <c r="LT320" s="25"/>
      <c r="LU320" s="25"/>
      <c r="LV320" s="25"/>
      <c r="LW320" s="25"/>
      <c r="LX320" s="25"/>
      <c r="LY320" s="25"/>
      <c r="LZ320" s="25"/>
      <c r="MA320" s="25"/>
      <c r="MB320" s="25"/>
      <c r="MC320" s="25"/>
      <c r="MD320" s="25"/>
      <c r="ME320" s="25"/>
      <c r="MF320" s="25"/>
      <c r="MG320" s="25"/>
      <c r="MH320" s="25"/>
    </row>
    <row r="321" spans="1:346" s="26" customFormat="1">
      <c r="A321" s="21"/>
      <c r="B321" s="22"/>
      <c r="C321" s="4"/>
      <c r="D321" s="7"/>
      <c r="E321" s="7"/>
      <c r="F321" s="4"/>
      <c r="G321" s="4"/>
      <c r="H321" s="4"/>
      <c r="I321" s="77"/>
      <c r="J321" s="156"/>
      <c r="K321" s="77"/>
      <c r="L321" s="78"/>
      <c r="M321" s="78"/>
      <c r="N321" s="49"/>
      <c r="O321" s="49" t="e">
        <f>IF($E321="posto/hora extra",0,IF(OR(E321="posto/dia",E321="posto/dia líder"),VLOOKUP($C321,'Indicadores Financeiros'!$A$107:$J$119,8,FALSE)+VLOOKUP($C321,'Indicadores Financeiros'!$A$107:$J$119,9,FALSE)+VLOOKUP($C321,'Indicadores Financeiros'!$A$107:$J$119,10,FALSE),IF('Indicadores Financeiros'!$J$91=0,0,(VLOOKUP($C321,'Indicadores Financeiros'!$A$107:$J$119,9,FALSE)+VLOOKUP('Relatório Custo'!$C321,'Indicadores Financeiros'!$A$107:$J$119,10,FALSE)+('Indicadores Financeiros'!$J$87*'Relatório Custo'!$H321)))))</f>
        <v>#N/A</v>
      </c>
      <c r="P321" s="49"/>
      <c r="Q321" s="81"/>
      <c r="R321" s="81"/>
      <c r="S321" s="82"/>
      <c r="T321" s="47"/>
      <c r="U321" s="83"/>
      <c r="V321" s="24"/>
      <c r="W321" s="91"/>
      <c r="X321" s="20"/>
      <c r="Y321" s="114"/>
      <c r="Z321" s="43"/>
      <c r="AA321" s="41"/>
      <c r="AB321" s="25"/>
      <c r="AC321" s="23"/>
      <c r="AD321" s="23"/>
      <c r="AE321" s="154"/>
      <c r="AF321" s="155"/>
      <c r="AG321" s="155"/>
      <c r="AH321" s="31"/>
      <c r="AI321" s="31"/>
      <c r="AJ321" s="31"/>
      <c r="AK321" s="31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  <c r="IV321" s="25"/>
      <c r="IW321" s="25"/>
      <c r="IX321" s="25"/>
      <c r="IY321" s="25"/>
      <c r="IZ321" s="25"/>
      <c r="JA321" s="25"/>
      <c r="JB321" s="25"/>
      <c r="JC321" s="25"/>
      <c r="JD321" s="25"/>
      <c r="JE321" s="25"/>
      <c r="JF321" s="25"/>
      <c r="JG321" s="25"/>
      <c r="JH321" s="25"/>
      <c r="JI321" s="25"/>
      <c r="JJ321" s="25"/>
      <c r="JK321" s="25"/>
      <c r="JL321" s="25"/>
      <c r="JM321" s="25"/>
      <c r="JN321" s="25"/>
      <c r="JO321" s="25"/>
      <c r="JP321" s="25"/>
      <c r="JQ321" s="25"/>
      <c r="JR321" s="25"/>
      <c r="JS321" s="25"/>
      <c r="JT321" s="25"/>
      <c r="JU321" s="25"/>
      <c r="JV321" s="25"/>
      <c r="JW321" s="25"/>
      <c r="JX321" s="25"/>
      <c r="JY321" s="25"/>
      <c r="JZ321" s="25"/>
      <c r="KA321" s="25"/>
      <c r="KB321" s="25"/>
      <c r="KC321" s="25"/>
      <c r="KD321" s="25"/>
      <c r="KE321" s="25"/>
      <c r="KF321" s="25"/>
      <c r="KG321" s="25"/>
      <c r="KH321" s="25"/>
      <c r="KI321" s="25"/>
      <c r="KJ321" s="25"/>
      <c r="KK321" s="25"/>
      <c r="KL321" s="25"/>
      <c r="KM321" s="25"/>
      <c r="KN321" s="25"/>
      <c r="KO321" s="25"/>
      <c r="KP321" s="25"/>
      <c r="KQ321" s="25"/>
      <c r="KR321" s="25"/>
      <c r="KS321" s="25"/>
      <c r="KT321" s="25"/>
      <c r="KU321" s="25"/>
      <c r="KV321" s="25"/>
      <c r="KW321" s="25"/>
      <c r="KX321" s="25"/>
      <c r="KY321" s="25"/>
      <c r="KZ321" s="25"/>
      <c r="LA321" s="25"/>
      <c r="LB321" s="25"/>
      <c r="LC321" s="25"/>
      <c r="LD321" s="25"/>
      <c r="LE321" s="25"/>
      <c r="LF321" s="25"/>
      <c r="LG321" s="25"/>
      <c r="LH321" s="25"/>
      <c r="LI321" s="25"/>
      <c r="LJ321" s="25"/>
      <c r="LK321" s="25"/>
      <c r="LL321" s="25"/>
      <c r="LM321" s="25"/>
      <c r="LN321" s="25"/>
      <c r="LO321" s="25"/>
      <c r="LP321" s="25"/>
      <c r="LQ321" s="25"/>
      <c r="LR321" s="25"/>
      <c r="LS321" s="25"/>
      <c r="LT321" s="25"/>
      <c r="LU321" s="25"/>
      <c r="LV321" s="25"/>
      <c r="LW321" s="25"/>
      <c r="LX321" s="25"/>
      <c r="LY321" s="25"/>
      <c r="LZ321" s="25"/>
      <c r="MA321" s="25"/>
      <c r="MB321" s="25"/>
      <c r="MC321" s="25"/>
      <c r="MD321" s="25"/>
      <c r="ME321" s="25"/>
      <c r="MF321" s="25"/>
      <c r="MG321" s="25"/>
      <c r="MH321" s="25"/>
    </row>
    <row r="322" spans="1:346" s="26" customFormat="1">
      <c r="A322" s="21"/>
      <c r="B322" s="22"/>
      <c r="C322" s="4"/>
      <c r="D322" s="7"/>
      <c r="E322" s="7"/>
      <c r="F322" s="4"/>
      <c r="G322" s="4"/>
      <c r="H322" s="4"/>
      <c r="I322" s="77"/>
      <c r="J322" s="156"/>
      <c r="K322" s="77"/>
      <c r="L322" s="78"/>
      <c r="M322" s="78"/>
      <c r="N322" s="49"/>
      <c r="O322" s="49" t="e">
        <f>IF($E322="posto/hora extra",0,IF(OR(E322="posto/dia",E322="posto/dia líder"),VLOOKUP($C322,'Indicadores Financeiros'!$A$107:$J$119,8,FALSE)+VLOOKUP($C322,'Indicadores Financeiros'!$A$107:$J$119,9,FALSE)+VLOOKUP($C322,'Indicadores Financeiros'!$A$107:$J$119,10,FALSE),IF('Indicadores Financeiros'!$J$91=0,0,(VLOOKUP($C322,'Indicadores Financeiros'!$A$107:$J$119,9,FALSE)+VLOOKUP('Relatório Custo'!$C322,'Indicadores Financeiros'!$A$107:$J$119,10,FALSE)+('Indicadores Financeiros'!$J$87*'Relatório Custo'!$H322)))))</f>
        <v>#N/A</v>
      </c>
      <c r="P322" s="49"/>
      <c r="Q322" s="81"/>
      <c r="R322" s="81"/>
      <c r="S322" s="82"/>
      <c r="T322" s="47"/>
      <c r="U322" s="83"/>
      <c r="V322" s="24"/>
      <c r="W322" s="91"/>
      <c r="X322" s="20"/>
      <c r="Y322" s="114"/>
      <c r="Z322" s="43"/>
      <c r="AA322" s="41"/>
      <c r="AB322" s="25"/>
      <c r="AC322" s="23"/>
      <c r="AD322" s="23"/>
      <c r="AE322" s="154"/>
      <c r="AF322" s="155"/>
      <c r="AG322" s="155"/>
      <c r="AH322" s="31"/>
      <c r="AI322" s="31"/>
      <c r="AJ322" s="31"/>
      <c r="AK322" s="31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  <c r="IV322" s="25"/>
      <c r="IW322" s="25"/>
      <c r="IX322" s="25"/>
      <c r="IY322" s="25"/>
      <c r="IZ322" s="25"/>
      <c r="JA322" s="25"/>
      <c r="JB322" s="25"/>
      <c r="JC322" s="25"/>
      <c r="JD322" s="25"/>
      <c r="JE322" s="25"/>
      <c r="JF322" s="25"/>
      <c r="JG322" s="25"/>
      <c r="JH322" s="25"/>
      <c r="JI322" s="25"/>
      <c r="JJ322" s="25"/>
      <c r="JK322" s="25"/>
      <c r="JL322" s="25"/>
      <c r="JM322" s="25"/>
      <c r="JN322" s="25"/>
      <c r="JO322" s="25"/>
      <c r="JP322" s="25"/>
      <c r="JQ322" s="25"/>
      <c r="JR322" s="25"/>
      <c r="JS322" s="25"/>
      <c r="JT322" s="25"/>
      <c r="JU322" s="25"/>
      <c r="JV322" s="25"/>
      <c r="JW322" s="25"/>
      <c r="JX322" s="25"/>
      <c r="JY322" s="25"/>
      <c r="JZ322" s="25"/>
      <c r="KA322" s="25"/>
      <c r="KB322" s="25"/>
      <c r="KC322" s="25"/>
      <c r="KD322" s="25"/>
      <c r="KE322" s="25"/>
      <c r="KF322" s="25"/>
      <c r="KG322" s="25"/>
      <c r="KH322" s="25"/>
      <c r="KI322" s="25"/>
      <c r="KJ322" s="25"/>
      <c r="KK322" s="25"/>
      <c r="KL322" s="25"/>
      <c r="KM322" s="25"/>
      <c r="KN322" s="25"/>
      <c r="KO322" s="25"/>
      <c r="KP322" s="25"/>
      <c r="KQ322" s="25"/>
      <c r="KR322" s="25"/>
      <c r="KS322" s="25"/>
      <c r="KT322" s="25"/>
      <c r="KU322" s="25"/>
      <c r="KV322" s="25"/>
      <c r="KW322" s="25"/>
      <c r="KX322" s="25"/>
      <c r="KY322" s="25"/>
      <c r="KZ322" s="25"/>
      <c r="LA322" s="25"/>
      <c r="LB322" s="25"/>
      <c r="LC322" s="25"/>
      <c r="LD322" s="25"/>
      <c r="LE322" s="25"/>
      <c r="LF322" s="25"/>
      <c r="LG322" s="25"/>
      <c r="LH322" s="25"/>
      <c r="LI322" s="25"/>
      <c r="LJ322" s="25"/>
      <c r="LK322" s="25"/>
      <c r="LL322" s="25"/>
      <c r="LM322" s="25"/>
      <c r="LN322" s="25"/>
      <c r="LO322" s="25"/>
      <c r="LP322" s="25"/>
      <c r="LQ322" s="25"/>
      <c r="LR322" s="25"/>
      <c r="LS322" s="25"/>
      <c r="LT322" s="25"/>
      <c r="LU322" s="25"/>
      <c r="LV322" s="25"/>
      <c r="LW322" s="25"/>
      <c r="LX322" s="25"/>
      <c r="LY322" s="25"/>
      <c r="LZ322" s="25"/>
      <c r="MA322" s="25"/>
      <c r="MB322" s="25"/>
      <c r="MC322" s="25"/>
      <c r="MD322" s="25"/>
      <c r="ME322" s="25"/>
      <c r="MF322" s="25"/>
      <c r="MG322" s="25"/>
      <c r="MH322" s="25"/>
    </row>
    <row r="323" spans="1:346" s="26" customFormat="1">
      <c r="A323" s="21"/>
      <c r="B323" s="22"/>
      <c r="C323" s="4"/>
      <c r="D323" s="7"/>
      <c r="E323" s="7"/>
      <c r="F323" s="4"/>
      <c r="G323" s="4"/>
      <c r="H323" s="4"/>
      <c r="I323" s="77"/>
      <c r="J323" s="156"/>
      <c r="K323" s="77"/>
      <c r="L323" s="78"/>
      <c r="M323" s="78"/>
      <c r="N323" s="49"/>
      <c r="O323" s="49" t="e">
        <f>IF($E323="posto/hora extra",0,IF(OR(E323="posto/dia",E323="posto/dia líder"),VLOOKUP($C323,'Indicadores Financeiros'!$A$107:$J$119,8,FALSE)+VLOOKUP($C323,'Indicadores Financeiros'!$A$107:$J$119,9,FALSE)+VLOOKUP($C323,'Indicadores Financeiros'!$A$107:$J$119,10,FALSE),IF('Indicadores Financeiros'!$J$91=0,0,(VLOOKUP($C323,'Indicadores Financeiros'!$A$107:$J$119,9,FALSE)+VLOOKUP('Relatório Custo'!$C323,'Indicadores Financeiros'!$A$107:$J$119,10,FALSE)+('Indicadores Financeiros'!$J$87*'Relatório Custo'!$H323)))))</f>
        <v>#N/A</v>
      </c>
      <c r="P323" s="49"/>
      <c r="Q323" s="81"/>
      <c r="R323" s="81"/>
      <c r="S323" s="82"/>
      <c r="T323" s="47"/>
      <c r="U323" s="83"/>
      <c r="V323" s="24"/>
      <c r="W323" s="91"/>
      <c r="X323" s="20"/>
      <c r="Y323" s="114"/>
      <c r="Z323" s="43"/>
      <c r="AA323" s="41"/>
      <c r="AB323" s="25"/>
      <c r="AC323" s="23"/>
      <c r="AD323" s="23"/>
      <c r="AE323" s="154"/>
      <c r="AF323" s="155"/>
      <c r="AG323" s="155"/>
      <c r="AH323" s="31"/>
      <c r="AI323" s="31"/>
      <c r="AJ323" s="31"/>
      <c r="AK323" s="31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  <c r="IV323" s="25"/>
      <c r="IW323" s="25"/>
      <c r="IX323" s="25"/>
      <c r="IY323" s="25"/>
      <c r="IZ323" s="25"/>
      <c r="JA323" s="25"/>
      <c r="JB323" s="25"/>
      <c r="JC323" s="25"/>
      <c r="JD323" s="25"/>
      <c r="JE323" s="25"/>
      <c r="JF323" s="25"/>
      <c r="JG323" s="25"/>
      <c r="JH323" s="25"/>
      <c r="JI323" s="25"/>
      <c r="JJ323" s="25"/>
      <c r="JK323" s="25"/>
      <c r="JL323" s="25"/>
      <c r="JM323" s="25"/>
      <c r="JN323" s="25"/>
      <c r="JO323" s="25"/>
      <c r="JP323" s="25"/>
      <c r="JQ323" s="25"/>
      <c r="JR323" s="25"/>
      <c r="JS323" s="25"/>
      <c r="JT323" s="25"/>
      <c r="JU323" s="25"/>
      <c r="JV323" s="25"/>
      <c r="JW323" s="25"/>
      <c r="JX323" s="25"/>
      <c r="JY323" s="25"/>
      <c r="JZ323" s="25"/>
      <c r="KA323" s="25"/>
      <c r="KB323" s="25"/>
      <c r="KC323" s="25"/>
      <c r="KD323" s="25"/>
      <c r="KE323" s="25"/>
      <c r="KF323" s="25"/>
      <c r="KG323" s="25"/>
      <c r="KH323" s="25"/>
      <c r="KI323" s="25"/>
      <c r="KJ323" s="25"/>
      <c r="KK323" s="25"/>
      <c r="KL323" s="25"/>
      <c r="KM323" s="25"/>
      <c r="KN323" s="25"/>
      <c r="KO323" s="25"/>
      <c r="KP323" s="25"/>
      <c r="KQ323" s="25"/>
      <c r="KR323" s="25"/>
      <c r="KS323" s="25"/>
      <c r="KT323" s="25"/>
      <c r="KU323" s="25"/>
      <c r="KV323" s="25"/>
      <c r="KW323" s="25"/>
      <c r="KX323" s="25"/>
      <c r="KY323" s="25"/>
      <c r="KZ323" s="25"/>
      <c r="LA323" s="25"/>
      <c r="LB323" s="25"/>
      <c r="LC323" s="25"/>
      <c r="LD323" s="25"/>
      <c r="LE323" s="25"/>
      <c r="LF323" s="25"/>
      <c r="LG323" s="25"/>
      <c r="LH323" s="25"/>
      <c r="LI323" s="25"/>
      <c r="LJ323" s="25"/>
      <c r="LK323" s="25"/>
      <c r="LL323" s="25"/>
      <c r="LM323" s="25"/>
      <c r="LN323" s="25"/>
      <c r="LO323" s="25"/>
      <c r="LP323" s="25"/>
      <c r="LQ323" s="25"/>
      <c r="LR323" s="25"/>
      <c r="LS323" s="25"/>
      <c r="LT323" s="25"/>
      <c r="LU323" s="25"/>
      <c r="LV323" s="25"/>
      <c r="LW323" s="25"/>
      <c r="LX323" s="25"/>
      <c r="LY323" s="25"/>
      <c r="LZ323" s="25"/>
      <c r="MA323" s="25"/>
      <c r="MB323" s="25"/>
      <c r="MC323" s="25"/>
      <c r="MD323" s="25"/>
      <c r="ME323" s="25"/>
      <c r="MF323" s="25"/>
      <c r="MG323" s="25"/>
      <c r="MH323" s="25"/>
    </row>
    <row r="324" spans="1:346" s="26" customFormat="1">
      <c r="A324" s="21"/>
      <c r="B324" s="22"/>
      <c r="C324" s="4"/>
      <c r="D324" s="7"/>
      <c r="E324" s="7"/>
      <c r="F324" s="4"/>
      <c r="G324" s="4"/>
      <c r="H324" s="4"/>
      <c r="I324" s="77"/>
      <c r="J324" s="156"/>
      <c r="K324" s="77"/>
      <c r="L324" s="78"/>
      <c r="M324" s="78"/>
      <c r="N324" s="49"/>
      <c r="O324" s="49" t="e">
        <f>IF($E324="posto/hora extra",0,IF(OR(E324="posto/dia",E324="posto/dia líder"),VLOOKUP($C324,'Indicadores Financeiros'!$A$107:$J$119,8,FALSE)+VLOOKUP($C324,'Indicadores Financeiros'!$A$107:$J$119,9,FALSE)+VLOOKUP($C324,'Indicadores Financeiros'!$A$107:$J$119,10,FALSE),IF('Indicadores Financeiros'!$J$91=0,0,(VLOOKUP($C324,'Indicadores Financeiros'!$A$107:$J$119,9,FALSE)+VLOOKUP('Relatório Custo'!$C324,'Indicadores Financeiros'!$A$107:$J$119,10,FALSE)+('Indicadores Financeiros'!$J$87*'Relatório Custo'!$H324)))))</f>
        <v>#N/A</v>
      </c>
      <c r="P324" s="49"/>
      <c r="Q324" s="81"/>
      <c r="R324" s="81"/>
      <c r="S324" s="82"/>
      <c r="T324" s="47"/>
      <c r="U324" s="83"/>
      <c r="V324" s="24"/>
      <c r="W324" s="91"/>
      <c r="X324" s="20"/>
      <c r="Y324" s="114"/>
      <c r="Z324" s="43"/>
      <c r="AA324" s="41"/>
      <c r="AB324" s="25"/>
      <c r="AC324" s="23"/>
      <c r="AD324" s="23"/>
      <c r="AE324" s="154"/>
      <c r="AF324" s="155"/>
      <c r="AG324" s="155"/>
      <c r="AH324" s="31"/>
      <c r="AI324" s="31"/>
      <c r="AJ324" s="31"/>
      <c r="AK324" s="31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  <c r="IV324" s="25"/>
      <c r="IW324" s="25"/>
      <c r="IX324" s="25"/>
      <c r="IY324" s="25"/>
      <c r="IZ324" s="25"/>
      <c r="JA324" s="25"/>
      <c r="JB324" s="25"/>
      <c r="JC324" s="25"/>
      <c r="JD324" s="25"/>
      <c r="JE324" s="25"/>
      <c r="JF324" s="25"/>
      <c r="JG324" s="25"/>
      <c r="JH324" s="25"/>
      <c r="JI324" s="25"/>
      <c r="JJ324" s="25"/>
      <c r="JK324" s="25"/>
      <c r="JL324" s="25"/>
      <c r="JM324" s="25"/>
      <c r="JN324" s="25"/>
      <c r="JO324" s="25"/>
      <c r="JP324" s="25"/>
      <c r="JQ324" s="25"/>
      <c r="JR324" s="25"/>
      <c r="JS324" s="25"/>
      <c r="JT324" s="25"/>
      <c r="JU324" s="25"/>
      <c r="JV324" s="25"/>
      <c r="JW324" s="25"/>
      <c r="JX324" s="25"/>
      <c r="JY324" s="25"/>
      <c r="JZ324" s="25"/>
      <c r="KA324" s="25"/>
      <c r="KB324" s="25"/>
      <c r="KC324" s="25"/>
      <c r="KD324" s="25"/>
      <c r="KE324" s="25"/>
      <c r="KF324" s="25"/>
      <c r="KG324" s="25"/>
      <c r="KH324" s="25"/>
      <c r="KI324" s="25"/>
      <c r="KJ324" s="25"/>
      <c r="KK324" s="25"/>
      <c r="KL324" s="25"/>
      <c r="KM324" s="25"/>
      <c r="KN324" s="25"/>
      <c r="KO324" s="25"/>
      <c r="KP324" s="25"/>
      <c r="KQ324" s="25"/>
      <c r="KR324" s="25"/>
      <c r="KS324" s="25"/>
      <c r="KT324" s="25"/>
      <c r="KU324" s="25"/>
      <c r="KV324" s="25"/>
      <c r="KW324" s="25"/>
      <c r="KX324" s="25"/>
      <c r="KY324" s="25"/>
      <c r="KZ324" s="25"/>
      <c r="LA324" s="25"/>
      <c r="LB324" s="25"/>
      <c r="LC324" s="25"/>
      <c r="LD324" s="25"/>
      <c r="LE324" s="25"/>
      <c r="LF324" s="25"/>
      <c r="LG324" s="25"/>
      <c r="LH324" s="25"/>
      <c r="LI324" s="25"/>
      <c r="LJ324" s="25"/>
      <c r="LK324" s="25"/>
      <c r="LL324" s="25"/>
      <c r="LM324" s="25"/>
      <c r="LN324" s="25"/>
      <c r="LO324" s="25"/>
      <c r="LP324" s="25"/>
      <c r="LQ324" s="25"/>
      <c r="LR324" s="25"/>
      <c r="LS324" s="25"/>
      <c r="LT324" s="25"/>
      <c r="LU324" s="25"/>
      <c r="LV324" s="25"/>
      <c r="LW324" s="25"/>
      <c r="LX324" s="25"/>
      <c r="LY324" s="25"/>
      <c r="LZ324" s="25"/>
      <c r="MA324" s="25"/>
      <c r="MB324" s="25"/>
      <c r="MC324" s="25"/>
      <c r="MD324" s="25"/>
      <c r="ME324" s="25"/>
      <c r="MF324" s="25"/>
      <c r="MG324" s="25"/>
      <c r="MH324" s="25"/>
    </row>
    <row r="325" spans="1:346" s="26" customFormat="1">
      <c r="A325" s="21"/>
      <c r="B325" s="22"/>
      <c r="C325" s="4"/>
      <c r="D325" s="7"/>
      <c r="E325" s="7"/>
      <c r="F325" s="4"/>
      <c r="G325" s="4"/>
      <c r="H325" s="4"/>
      <c r="I325" s="77"/>
      <c r="J325" s="156"/>
      <c r="K325" s="77"/>
      <c r="L325" s="78"/>
      <c r="M325" s="78"/>
      <c r="N325" s="49"/>
      <c r="O325" s="49" t="e">
        <f>IF($E325="posto/hora extra",0,IF(OR(E325="posto/dia",E325="posto/dia líder"),VLOOKUP($C325,'Indicadores Financeiros'!$A$107:$J$119,8,FALSE)+VLOOKUP($C325,'Indicadores Financeiros'!$A$107:$J$119,9,FALSE)+VLOOKUP($C325,'Indicadores Financeiros'!$A$107:$J$119,10,FALSE),IF('Indicadores Financeiros'!$J$91=0,0,(VLOOKUP($C325,'Indicadores Financeiros'!$A$107:$J$119,9,FALSE)+VLOOKUP('Relatório Custo'!$C325,'Indicadores Financeiros'!$A$107:$J$119,10,FALSE)+('Indicadores Financeiros'!$J$87*'Relatório Custo'!$H325)))))</f>
        <v>#N/A</v>
      </c>
      <c r="P325" s="49"/>
      <c r="Q325" s="81"/>
      <c r="R325" s="81"/>
      <c r="S325" s="82"/>
      <c r="T325" s="47"/>
      <c r="U325" s="83"/>
      <c r="V325" s="24"/>
      <c r="W325" s="91"/>
      <c r="X325" s="20"/>
      <c r="Y325" s="114"/>
      <c r="Z325" s="43"/>
      <c r="AA325" s="41"/>
      <c r="AB325" s="25"/>
      <c r="AC325" s="23"/>
      <c r="AD325" s="23"/>
      <c r="AE325" s="154"/>
      <c r="AF325" s="155"/>
      <c r="AG325" s="155"/>
      <c r="AH325" s="31"/>
      <c r="AI325" s="31"/>
      <c r="AJ325" s="31"/>
      <c r="AK325" s="31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  <c r="IV325" s="25"/>
      <c r="IW325" s="25"/>
      <c r="IX325" s="25"/>
      <c r="IY325" s="25"/>
      <c r="IZ325" s="25"/>
      <c r="JA325" s="25"/>
      <c r="JB325" s="25"/>
      <c r="JC325" s="25"/>
      <c r="JD325" s="25"/>
      <c r="JE325" s="25"/>
      <c r="JF325" s="25"/>
      <c r="JG325" s="25"/>
      <c r="JH325" s="25"/>
      <c r="JI325" s="25"/>
      <c r="JJ325" s="25"/>
      <c r="JK325" s="25"/>
      <c r="JL325" s="25"/>
      <c r="JM325" s="25"/>
      <c r="JN325" s="25"/>
      <c r="JO325" s="25"/>
      <c r="JP325" s="25"/>
      <c r="JQ325" s="25"/>
      <c r="JR325" s="25"/>
      <c r="JS325" s="25"/>
      <c r="JT325" s="25"/>
      <c r="JU325" s="25"/>
      <c r="JV325" s="25"/>
      <c r="JW325" s="25"/>
      <c r="JX325" s="25"/>
      <c r="JY325" s="25"/>
      <c r="JZ325" s="25"/>
      <c r="KA325" s="25"/>
      <c r="KB325" s="25"/>
      <c r="KC325" s="25"/>
      <c r="KD325" s="25"/>
      <c r="KE325" s="25"/>
      <c r="KF325" s="25"/>
      <c r="KG325" s="25"/>
      <c r="KH325" s="25"/>
      <c r="KI325" s="25"/>
      <c r="KJ325" s="25"/>
      <c r="KK325" s="25"/>
      <c r="KL325" s="25"/>
      <c r="KM325" s="25"/>
      <c r="KN325" s="25"/>
      <c r="KO325" s="25"/>
      <c r="KP325" s="25"/>
      <c r="KQ325" s="25"/>
      <c r="KR325" s="25"/>
      <c r="KS325" s="25"/>
      <c r="KT325" s="25"/>
      <c r="KU325" s="25"/>
      <c r="KV325" s="25"/>
      <c r="KW325" s="25"/>
      <c r="KX325" s="25"/>
      <c r="KY325" s="25"/>
      <c r="KZ325" s="25"/>
      <c r="LA325" s="25"/>
      <c r="LB325" s="25"/>
      <c r="LC325" s="25"/>
      <c r="LD325" s="25"/>
      <c r="LE325" s="25"/>
      <c r="LF325" s="25"/>
      <c r="LG325" s="25"/>
      <c r="LH325" s="25"/>
      <c r="LI325" s="25"/>
      <c r="LJ325" s="25"/>
      <c r="LK325" s="25"/>
      <c r="LL325" s="25"/>
      <c r="LM325" s="25"/>
      <c r="LN325" s="25"/>
      <c r="LO325" s="25"/>
      <c r="LP325" s="25"/>
      <c r="LQ325" s="25"/>
      <c r="LR325" s="25"/>
      <c r="LS325" s="25"/>
      <c r="LT325" s="25"/>
      <c r="LU325" s="25"/>
      <c r="LV325" s="25"/>
      <c r="LW325" s="25"/>
      <c r="LX325" s="25"/>
      <c r="LY325" s="25"/>
      <c r="LZ325" s="25"/>
      <c r="MA325" s="25"/>
      <c r="MB325" s="25"/>
      <c r="MC325" s="25"/>
      <c r="MD325" s="25"/>
      <c r="ME325" s="25"/>
      <c r="MF325" s="25"/>
      <c r="MG325" s="25"/>
      <c r="MH325" s="25"/>
    </row>
    <row r="326" spans="1:346" s="26" customFormat="1">
      <c r="A326" s="21"/>
      <c r="B326" s="22"/>
      <c r="C326" s="4"/>
      <c r="D326" s="7"/>
      <c r="E326" s="7"/>
      <c r="F326" s="4"/>
      <c r="G326" s="4"/>
      <c r="H326" s="4"/>
      <c r="I326" s="77"/>
      <c r="J326" s="156"/>
      <c r="K326" s="77"/>
      <c r="L326" s="78"/>
      <c r="M326" s="78"/>
      <c r="N326" s="49"/>
      <c r="O326" s="49" t="e">
        <f>IF($E326="posto/hora extra",0,IF(OR(E326="posto/dia",E326="posto/dia líder"),VLOOKUP($C326,'Indicadores Financeiros'!$A$107:$J$119,8,FALSE)+VLOOKUP($C326,'Indicadores Financeiros'!$A$107:$J$119,9,FALSE)+VLOOKUP($C326,'Indicadores Financeiros'!$A$107:$J$119,10,FALSE),IF('Indicadores Financeiros'!$J$91=0,0,(VLOOKUP($C326,'Indicadores Financeiros'!$A$107:$J$119,9,FALSE)+VLOOKUP('Relatório Custo'!$C326,'Indicadores Financeiros'!$A$107:$J$119,10,FALSE)+('Indicadores Financeiros'!$J$87*'Relatório Custo'!$H326)))))</f>
        <v>#N/A</v>
      </c>
      <c r="P326" s="49"/>
      <c r="Q326" s="81"/>
      <c r="R326" s="81"/>
      <c r="S326" s="82"/>
      <c r="T326" s="47"/>
      <c r="U326" s="83"/>
      <c r="V326" s="24"/>
      <c r="W326" s="91"/>
      <c r="X326" s="20"/>
      <c r="Y326" s="114"/>
      <c r="Z326" s="43"/>
      <c r="AA326" s="41"/>
      <c r="AB326" s="25"/>
      <c r="AC326" s="23"/>
      <c r="AD326" s="23"/>
      <c r="AE326" s="154"/>
      <c r="AF326" s="155"/>
      <c r="AG326" s="155"/>
      <c r="AH326" s="31"/>
      <c r="AI326" s="31"/>
      <c r="AJ326" s="31"/>
      <c r="AK326" s="31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  <c r="IV326" s="25"/>
      <c r="IW326" s="25"/>
      <c r="IX326" s="25"/>
      <c r="IY326" s="25"/>
      <c r="IZ326" s="25"/>
      <c r="JA326" s="25"/>
      <c r="JB326" s="25"/>
      <c r="JC326" s="25"/>
      <c r="JD326" s="25"/>
      <c r="JE326" s="25"/>
      <c r="JF326" s="25"/>
      <c r="JG326" s="25"/>
      <c r="JH326" s="25"/>
      <c r="JI326" s="25"/>
      <c r="JJ326" s="25"/>
      <c r="JK326" s="25"/>
      <c r="JL326" s="25"/>
      <c r="JM326" s="25"/>
      <c r="JN326" s="25"/>
      <c r="JO326" s="25"/>
      <c r="JP326" s="25"/>
      <c r="JQ326" s="25"/>
      <c r="JR326" s="25"/>
      <c r="JS326" s="25"/>
      <c r="JT326" s="25"/>
      <c r="JU326" s="25"/>
      <c r="JV326" s="25"/>
      <c r="JW326" s="25"/>
      <c r="JX326" s="25"/>
      <c r="JY326" s="25"/>
      <c r="JZ326" s="25"/>
      <c r="KA326" s="25"/>
      <c r="KB326" s="25"/>
      <c r="KC326" s="25"/>
      <c r="KD326" s="25"/>
      <c r="KE326" s="25"/>
      <c r="KF326" s="25"/>
      <c r="KG326" s="25"/>
      <c r="KH326" s="25"/>
      <c r="KI326" s="25"/>
      <c r="KJ326" s="25"/>
      <c r="KK326" s="25"/>
      <c r="KL326" s="25"/>
      <c r="KM326" s="25"/>
      <c r="KN326" s="25"/>
      <c r="KO326" s="25"/>
      <c r="KP326" s="25"/>
      <c r="KQ326" s="25"/>
      <c r="KR326" s="25"/>
      <c r="KS326" s="25"/>
      <c r="KT326" s="25"/>
      <c r="KU326" s="25"/>
      <c r="KV326" s="25"/>
      <c r="KW326" s="25"/>
      <c r="KX326" s="25"/>
      <c r="KY326" s="25"/>
      <c r="KZ326" s="25"/>
      <c r="LA326" s="25"/>
      <c r="LB326" s="25"/>
      <c r="LC326" s="25"/>
      <c r="LD326" s="25"/>
      <c r="LE326" s="25"/>
      <c r="LF326" s="25"/>
      <c r="LG326" s="25"/>
      <c r="LH326" s="25"/>
      <c r="LI326" s="25"/>
      <c r="LJ326" s="25"/>
      <c r="LK326" s="25"/>
      <c r="LL326" s="25"/>
      <c r="LM326" s="25"/>
      <c r="LN326" s="25"/>
      <c r="LO326" s="25"/>
      <c r="LP326" s="25"/>
      <c r="LQ326" s="25"/>
      <c r="LR326" s="25"/>
      <c r="LS326" s="25"/>
      <c r="LT326" s="25"/>
      <c r="LU326" s="25"/>
      <c r="LV326" s="25"/>
      <c r="LW326" s="25"/>
      <c r="LX326" s="25"/>
      <c r="LY326" s="25"/>
      <c r="LZ326" s="25"/>
      <c r="MA326" s="25"/>
      <c r="MB326" s="25"/>
      <c r="MC326" s="25"/>
      <c r="MD326" s="25"/>
      <c r="ME326" s="25"/>
      <c r="MF326" s="25"/>
      <c r="MG326" s="25"/>
      <c r="MH326" s="25"/>
    </row>
    <row r="327" spans="1:346" s="26" customFormat="1">
      <c r="A327" s="21"/>
      <c r="B327" s="22"/>
      <c r="C327" s="4"/>
      <c r="D327" s="7"/>
      <c r="E327" s="7"/>
      <c r="F327" s="4"/>
      <c r="G327" s="4"/>
      <c r="H327" s="4"/>
      <c r="I327" s="77"/>
      <c r="J327" s="156"/>
      <c r="K327" s="77"/>
      <c r="L327" s="78"/>
      <c r="M327" s="78"/>
      <c r="N327" s="49"/>
      <c r="O327" s="49" t="e">
        <f>IF($E327="posto/hora extra",0,IF(OR(E327="posto/dia",E327="posto/dia líder"),VLOOKUP($C327,'Indicadores Financeiros'!$A$107:$J$119,8,FALSE)+VLOOKUP($C327,'Indicadores Financeiros'!$A$107:$J$119,9,FALSE)+VLOOKUP($C327,'Indicadores Financeiros'!$A$107:$J$119,10,FALSE),IF('Indicadores Financeiros'!$J$91=0,0,(VLOOKUP($C327,'Indicadores Financeiros'!$A$107:$J$119,9,FALSE)+VLOOKUP('Relatório Custo'!$C327,'Indicadores Financeiros'!$A$107:$J$119,10,FALSE)+('Indicadores Financeiros'!$J$87*'Relatório Custo'!$H327)))))</f>
        <v>#N/A</v>
      </c>
      <c r="P327" s="49"/>
      <c r="Q327" s="81"/>
      <c r="R327" s="81"/>
      <c r="S327" s="82"/>
      <c r="T327" s="47"/>
      <c r="U327" s="83"/>
      <c r="V327" s="24"/>
      <c r="W327" s="91"/>
      <c r="X327" s="20"/>
      <c r="Y327" s="114"/>
      <c r="Z327" s="43"/>
      <c r="AA327" s="41"/>
      <c r="AB327" s="25"/>
      <c r="AC327" s="23"/>
      <c r="AD327" s="23"/>
      <c r="AE327" s="154"/>
      <c r="AF327" s="155"/>
      <c r="AG327" s="155"/>
      <c r="AH327" s="31"/>
      <c r="AI327" s="31"/>
      <c r="AJ327" s="31"/>
      <c r="AK327" s="31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  <c r="IV327" s="25"/>
      <c r="IW327" s="25"/>
      <c r="IX327" s="25"/>
      <c r="IY327" s="25"/>
      <c r="IZ327" s="25"/>
      <c r="JA327" s="25"/>
      <c r="JB327" s="25"/>
      <c r="JC327" s="25"/>
      <c r="JD327" s="25"/>
      <c r="JE327" s="25"/>
      <c r="JF327" s="25"/>
      <c r="JG327" s="25"/>
      <c r="JH327" s="25"/>
      <c r="JI327" s="25"/>
      <c r="JJ327" s="25"/>
      <c r="JK327" s="25"/>
      <c r="JL327" s="25"/>
      <c r="JM327" s="25"/>
      <c r="JN327" s="25"/>
      <c r="JO327" s="25"/>
      <c r="JP327" s="25"/>
      <c r="JQ327" s="25"/>
      <c r="JR327" s="25"/>
      <c r="JS327" s="25"/>
      <c r="JT327" s="25"/>
      <c r="JU327" s="25"/>
      <c r="JV327" s="25"/>
      <c r="JW327" s="25"/>
      <c r="JX327" s="25"/>
      <c r="JY327" s="25"/>
      <c r="JZ327" s="25"/>
      <c r="KA327" s="25"/>
      <c r="KB327" s="25"/>
      <c r="KC327" s="25"/>
      <c r="KD327" s="25"/>
      <c r="KE327" s="25"/>
      <c r="KF327" s="25"/>
      <c r="KG327" s="25"/>
      <c r="KH327" s="25"/>
      <c r="KI327" s="25"/>
      <c r="KJ327" s="25"/>
      <c r="KK327" s="25"/>
      <c r="KL327" s="25"/>
      <c r="KM327" s="25"/>
      <c r="KN327" s="25"/>
      <c r="KO327" s="25"/>
      <c r="KP327" s="25"/>
      <c r="KQ327" s="25"/>
      <c r="KR327" s="25"/>
      <c r="KS327" s="25"/>
      <c r="KT327" s="25"/>
      <c r="KU327" s="25"/>
      <c r="KV327" s="25"/>
      <c r="KW327" s="25"/>
      <c r="KX327" s="25"/>
      <c r="KY327" s="25"/>
      <c r="KZ327" s="25"/>
      <c r="LA327" s="25"/>
      <c r="LB327" s="25"/>
      <c r="LC327" s="25"/>
      <c r="LD327" s="25"/>
      <c r="LE327" s="25"/>
      <c r="LF327" s="25"/>
      <c r="LG327" s="25"/>
      <c r="LH327" s="25"/>
      <c r="LI327" s="25"/>
      <c r="LJ327" s="25"/>
      <c r="LK327" s="25"/>
      <c r="LL327" s="25"/>
      <c r="LM327" s="25"/>
      <c r="LN327" s="25"/>
      <c r="LO327" s="25"/>
      <c r="LP327" s="25"/>
      <c r="LQ327" s="25"/>
      <c r="LR327" s="25"/>
      <c r="LS327" s="25"/>
      <c r="LT327" s="25"/>
      <c r="LU327" s="25"/>
      <c r="LV327" s="25"/>
      <c r="LW327" s="25"/>
      <c r="LX327" s="25"/>
      <c r="LY327" s="25"/>
      <c r="LZ327" s="25"/>
      <c r="MA327" s="25"/>
      <c r="MB327" s="25"/>
      <c r="MC327" s="25"/>
      <c r="MD327" s="25"/>
      <c r="ME327" s="25"/>
      <c r="MF327" s="25"/>
      <c r="MG327" s="25"/>
      <c r="MH327" s="25"/>
    </row>
    <row r="328" spans="1:346" s="26" customFormat="1">
      <c r="A328" s="21"/>
      <c r="B328" s="22"/>
      <c r="C328" s="4"/>
      <c r="D328" s="7"/>
      <c r="E328" s="7"/>
      <c r="F328" s="4"/>
      <c r="G328" s="4"/>
      <c r="H328" s="4"/>
      <c r="I328" s="77"/>
      <c r="J328" s="156"/>
      <c r="K328" s="77"/>
      <c r="L328" s="78"/>
      <c r="M328" s="78"/>
      <c r="N328" s="49"/>
      <c r="O328" s="49" t="e">
        <f>IF($E328="posto/hora extra",0,IF(OR(E328="posto/dia",E328="posto/dia líder"),VLOOKUP($C328,'Indicadores Financeiros'!$A$107:$J$119,8,FALSE)+VLOOKUP($C328,'Indicadores Financeiros'!$A$107:$J$119,9,FALSE)+VLOOKUP($C328,'Indicadores Financeiros'!$A$107:$J$119,10,FALSE),IF('Indicadores Financeiros'!$J$91=0,0,(VLOOKUP($C328,'Indicadores Financeiros'!$A$107:$J$119,9,FALSE)+VLOOKUP('Relatório Custo'!$C328,'Indicadores Financeiros'!$A$107:$J$119,10,FALSE)+('Indicadores Financeiros'!$J$87*'Relatório Custo'!$H328)))))</f>
        <v>#N/A</v>
      </c>
      <c r="P328" s="49"/>
      <c r="Q328" s="81"/>
      <c r="R328" s="81"/>
      <c r="S328" s="82"/>
      <c r="T328" s="47"/>
      <c r="U328" s="83"/>
      <c r="V328" s="24"/>
      <c r="W328" s="91"/>
      <c r="X328" s="20"/>
      <c r="Y328" s="114"/>
      <c r="Z328" s="43"/>
      <c r="AA328" s="41"/>
      <c r="AB328" s="25"/>
      <c r="AC328" s="23"/>
      <c r="AD328" s="23"/>
      <c r="AE328" s="154"/>
      <c r="AF328" s="155"/>
      <c r="AG328" s="155"/>
      <c r="AH328" s="31"/>
      <c r="AI328" s="31"/>
      <c r="AJ328" s="31"/>
      <c r="AK328" s="31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  <c r="IV328" s="25"/>
      <c r="IW328" s="25"/>
      <c r="IX328" s="25"/>
      <c r="IY328" s="25"/>
      <c r="IZ328" s="25"/>
      <c r="JA328" s="25"/>
      <c r="JB328" s="25"/>
      <c r="JC328" s="25"/>
      <c r="JD328" s="25"/>
      <c r="JE328" s="25"/>
      <c r="JF328" s="25"/>
      <c r="JG328" s="25"/>
      <c r="JH328" s="25"/>
      <c r="JI328" s="25"/>
      <c r="JJ328" s="25"/>
      <c r="JK328" s="25"/>
      <c r="JL328" s="25"/>
      <c r="JM328" s="25"/>
      <c r="JN328" s="25"/>
      <c r="JO328" s="25"/>
      <c r="JP328" s="25"/>
      <c r="JQ328" s="25"/>
      <c r="JR328" s="25"/>
      <c r="JS328" s="25"/>
      <c r="JT328" s="25"/>
      <c r="JU328" s="25"/>
      <c r="JV328" s="25"/>
      <c r="JW328" s="25"/>
      <c r="JX328" s="25"/>
      <c r="JY328" s="25"/>
      <c r="JZ328" s="25"/>
      <c r="KA328" s="25"/>
      <c r="KB328" s="25"/>
      <c r="KC328" s="25"/>
      <c r="KD328" s="25"/>
      <c r="KE328" s="25"/>
      <c r="KF328" s="25"/>
      <c r="KG328" s="25"/>
      <c r="KH328" s="25"/>
      <c r="KI328" s="25"/>
      <c r="KJ328" s="25"/>
      <c r="KK328" s="25"/>
      <c r="KL328" s="25"/>
      <c r="KM328" s="25"/>
      <c r="KN328" s="25"/>
      <c r="KO328" s="25"/>
      <c r="KP328" s="25"/>
      <c r="KQ328" s="25"/>
      <c r="KR328" s="25"/>
      <c r="KS328" s="25"/>
      <c r="KT328" s="25"/>
      <c r="KU328" s="25"/>
      <c r="KV328" s="25"/>
      <c r="KW328" s="25"/>
      <c r="KX328" s="25"/>
      <c r="KY328" s="25"/>
      <c r="KZ328" s="25"/>
      <c r="LA328" s="25"/>
      <c r="LB328" s="25"/>
      <c r="LC328" s="25"/>
      <c r="LD328" s="25"/>
      <c r="LE328" s="25"/>
      <c r="LF328" s="25"/>
      <c r="LG328" s="25"/>
      <c r="LH328" s="25"/>
      <c r="LI328" s="25"/>
      <c r="LJ328" s="25"/>
      <c r="LK328" s="25"/>
      <c r="LL328" s="25"/>
      <c r="LM328" s="25"/>
      <c r="LN328" s="25"/>
      <c r="LO328" s="25"/>
      <c r="LP328" s="25"/>
      <c r="LQ328" s="25"/>
      <c r="LR328" s="25"/>
      <c r="LS328" s="25"/>
      <c r="LT328" s="25"/>
      <c r="LU328" s="25"/>
      <c r="LV328" s="25"/>
      <c r="LW328" s="25"/>
      <c r="LX328" s="25"/>
      <c r="LY328" s="25"/>
      <c r="LZ328" s="25"/>
      <c r="MA328" s="25"/>
      <c r="MB328" s="25"/>
      <c r="MC328" s="25"/>
      <c r="MD328" s="25"/>
      <c r="ME328" s="25"/>
      <c r="MF328" s="25"/>
      <c r="MG328" s="25"/>
      <c r="MH328" s="25"/>
    </row>
    <row r="329" spans="1:346" s="26" customFormat="1">
      <c r="A329" s="21"/>
      <c r="B329" s="22"/>
      <c r="C329" s="4"/>
      <c r="D329" s="7"/>
      <c r="E329" s="7"/>
      <c r="F329" s="4"/>
      <c r="G329" s="4"/>
      <c r="H329" s="4"/>
      <c r="I329" s="77"/>
      <c r="J329" s="156"/>
      <c r="K329" s="77"/>
      <c r="L329" s="78"/>
      <c r="M329" s="78"/>
      <c r="N329" s="49"/>
      <c r="O329" s="49" t="e">
        <f>IF($E329="posto/hora extra",0,IF(OR(E329="posto/dia",E329="posto/dia líder"),VLOOKUP($C329,'Indicadores Financeiros'!$A$107:$J$119,8,FALSE)+VLOOKUP($C329,'Indicadores Financeiros'!$A$107:$J$119,9,FALSE)+VLOOKUP($C329,'Indicadores Financeiros'!$A$107:$J$119,10,FALSE),IF('Indicadores Financeiros'!$J$91=0,0,(VLOOKUP($C329,'Indicadores Financeiros'!$A$107:$J$119,9,FALSE)+VLOOKUP('Relatório Custo'!$C329,'Indicadores Financeiros'!$A$107:$J$119,10,FALSE)+('Indicadores Financeiros'!$J$87*'Relatório Custo'!$H329)))))</f>
        <v>#N/A</v>
      </c>
      <c r="P329" s="49"/>
      <c r="Q329" s="81"/>
      <c r="R329" s="81"/>
      <c r="S329" s="82"/>
      <c r="T329" s="47"/>
      <c r="U329" s="83"/>
      <c r="V329" s="24"/>
      <c r="W329" s="91"/>
      <c r="X329" s="20"/>
      <c r="Y329" s="114"/>
      <c r="Z329" s="43"/>
      <c r="AA329" s="41"/>
      <c r="AB329" s="25"/>
      <c r="AC329" s="23"/>
      <c r="AD329" s="23"/>
      <c r="AE329" s="154"/>
      <c r="AF329" s="155"/>
      <c r="AG329" s="155"/>
      <c r="AH329" s="31"/>
      <c r="AI329" s="31"/>
      <c r="AJ329" s="31"/>
      <c r="AK329" s="31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  <c r="IV329" s="25"/>
      <c r="IW329" s="25"/>
      <c r="IX329" s="25"/>
      <c r="IY329" s="25"/>
      <c r="IZ329" s="25"/>
      <c r="JA329" s="25"/>
      <c r="JB329" s="25"/>
      <c r="JC329" s="25"/>
      <c r="JD329" s="25"/>
      <c r="JE329" s="25"/>
      <c r="JF329" s="25"/>
      <c r="JG329" s="25"/>
      <c r="JH329" s="25"/>
      <c r="JI329" s="25"/>
      <c r="JJ329" s="25"/>
      <c r="JK329" s="25"/>
      <c r="JL329" s="25"/>
      <c r="JM329" s="25"/>
      <c r="JN329" s="25"/>
      <c r="JO329" s="25"/>
      <c r="JP329" s="25"/>
      <c r="JQ329" s="25"/>
      <c r="JR329" s="25"/>
      <c r="JS329" s="25"/>
      <c r="JT329" s="25"/>
      <c r="JU329" s="25"/>
      <c r="JV329" s="25"/>
      <c r="JW329" s="25"/>
      <c r="JX329" s="25"/>
      <c r="JY329" s="25"/>
      <c r="JZ329" s="25"/>
      <c r="KA329" s="25"/>
      <c r="KB329" s="25"/>
      <c r="KC329" s="25"/>
      <c r="KD329" s="25"/>
      <c r="KE329" s="25"/>
      <c r="KF329" s="25"/>
      <c r="KG329" s="25"/>
      <c r="KH329" s="25"/>
      <c r="KI329" s="25"/>
      <c r="KJ329" s="25"/>
      <c r="KK329" s="25"/>
      <c r="KL329" s="25"/>
      <c r="KM329" s="25"/>
      <c r="KN329" s="25"/>
      <c r="KO329" s="25"/>
      <c r="KP329" s="25"/>
      <c r="KQ329" s="25"/>
      <c r="KR329" s="25"/>
      <c r="KS329" s="25"/>
      <c r="KT329" s="25"/>
      <c r="KU329" s="25"/>
      <c r="KV329" s="25"/>
      <c r="KW329" s="25"/>
      <c r="KX329" s="25"/>
      <c r="KY329" s="25"/>
      <c r="KZ329" s="25"/>
      <c r="LA329" s="25"/>
      <c r="LB329" s="25"/>
      <c r="LC329" s="25"/>
      <c r="LD329" s="25"/>
      <c r="LE329" s="25"/>
      <c r="LF329" s="25"/>
      <c r="LG329" s="25"/>
      <c r="LH329" s="25"/>
      <c r="LI329" s="25"/>
      <c r="LJ329" s="25"/>
      <c r="LK329" s="25"/>
      <c r="LL329" s="25"/>
      <c r="LM329" s="25"/>
      <c r="LN329" s="25"/>
      <c r="LO329" s="25"/>
      <c r="LP329" s="25"/>
      <c r="LQ329" s="25"/>
      <c r="LR329" s="25"/>
      <c r="LS329" s="25"/>
      <c r="LT329" s="25"/>
      <c r="LU329" s="25"/>
      <c r="LV329" s="25"/>
      <c r="LW329" s="25"/>
      <c r="LX329" s="25"/>
      <c r="LY329" s="25"/>
      <c r="LZ329" s="25"/>
      <c r="MA329" s="25"/>
      <c r="MB329" s="25"/>
      <c r="MC329" s="25"/>
      <c r="MD329" s="25"/>
      <c r="ME329" s="25"/>
      <c r="MF329" s="25"/>
      <c r="MG329" s="25"/>
      <c r="MH329" s="25"/>
    </row>
    <row r="330" spans="1:346" s="26" customFormat="1">
      <c r="A330" s="21"/>
      <c r="B330" s="22"/>
      <c r="C330" s="4"/>
      <c r="D330" s="7"/>
      <c r="E330" s="7"/>
      <c r="F330" s="4"/>
      <c r="G330" s="4"/>
      <c r="H330" s="4"/>
      <c r="I330" s="77"/>
      <c r="J330" s="156"/>
      <c r="K330" s="77"/>
      <c r="L330" s="78"/>
      <c r="M330" s="78"/>
      <c r="N330" s="49"/>
      <c r="O330" s="49" t="e">
        <f>IF($E330="posto/hora extra",0,IF(OR(E330="posto/dia",E330="posto/dia líder"),VLOOKUP($C330,'Indicadores Financeiros'!$A$107:$J$119,8,FALSE)+VLOOKUP($C330,'Indicadores Financeiros'!$A$107:$J$119,9,FALSE)+VLOOKUP($C330,'Indicadores Financeiros'!$A$107:$J$119,10,FALSE),IF('Indicadores Financeiros'!$J$91=0,0,(VLOOKUP($C330,'Indicadores Financeiros'!$A$107:$J$119,9,FALSE)+VLOOKUP('Relatório Custo'!$C330,'Indicadores Financeiros'!$A$107:$J$119,10,FALSE)+('Indicadores Financeiros'!$J$87*'Relatório Custo'!$H330)))))</f>
        <v>#N/A</v>
      </c>
      <c r="P330" s="49"/>
      <c r="Q330" s="81"/>
      <c r="R330" s="81"/>
      <c r="S330" s="82"/>
      <c r="T330" s="47"/>
      <c r="U330" s="83"/>
      <c r="V330" s="24"/>
      <c r="W330" s="91"/>
      <c r="X330" s="20"/>
      <c r="Y330" s="114"/>
      <c r="Z330" s="43"/>
      <c r="AA330" s="41"/>
      <c r="AB330" s="25"/>
      <c r="AC330" s="23"/>
      <c r="AD330" s="23"/>
      <c r="AE330" s="154"/>
      <c r="AF330" s="155"/>
      <c r="AG330" s="155"/>
      <c r="AH330" s="31"/>
      <c r="AI330" s="31"/>
      <c r="AJ330" s="31"/>
      <c r="AK330" s="31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  <c r="IV330" s="25"/>
      <c r="IW330" s="25"/>
      <c r="IX330" s="25"/>
      <c r="IY330" s="25"/>
      <c r="IZ330" s="25"/>
      <c r="JA330" s="25"/>
      <c r="JB330" s="25"/>
      <c r="JC330" s="25"/>
      <c r="JD330" s="25"/>
      <c r="JE330" s="25"/>
      <c r="JF330" s="25"/>
      <c r="JG330" s="25"/>
      <c r="JH330" s="25"/>
      <c r="JI330" s="25"/>
      <c r="JJ330" s="25"/>
      <c r="JK330" s="25"/>
      <c r="JL330" s="25"/>
      <c r="JM330" s="25"/>
      <c r="JN330" s="25"/>
      <c r="JO330" s="25"/>
      <c r="JP330" s="25"/>
      <c r="JQ330" s="25"/>
      <c r="JR330" s="25"/>
      <c r="JS330" s="25"/>
      <c r="JT330" s="25"/>
      <c r="JU330" s="25"/>
      <c r="JV330" s="25"/>
      <c r="JW330" s="25"/>
      <c r="JX330" s="25"/>
      <c r="JY330" s="25"/>
      <c r="JZ330" s="25"/>
      <c r="KA330" s="25"/>
      <c r="KB330" s="25"/>
      <c r="KC330" s="25"/>
      <c r="KD330" s="25"/>
      <c r="KE330" s="25"/>
      <c r="KF330" s="25"/>
      <c r="KG330" s="25"/>
      <c r="KH330" s="25"/>
      <c r="KI330" s="25"/>
      <c r="KJ330" s="25"/>
      <c r="KK330" s="25"/>
      <c r="KL330" s="25"/>
      <c r="KM330" s="25"/>
      <c r="KN330" s="25"/>
      <c r="KO330" s="25"/>
      <c r="KP330" s="25"/>
      <c r="KQ330" s="25"/>
      <c r="KR330" s="25"/>
      <c r="KS330" s="25"/>
      <c r="KT330" s="25"/>
      <c r="KU330" s="25"/>
      <c r="KV330" s="25"/>
      <c r="KW330" s="25"/>
      <c r="KX330" s="25"/>
      <c r="KY330" s="25"/>
      <c r="KZ330" s="25"/>
      <c r="LA330" s="25"/>
      <c r="LB330" s="25"/>
      <c r="LC330" s="25"/>
      <c r="LD330" s="25"/>
      <c r="LE330" s="25"/>
      <c r="LF330" s="25"/>
      <c r="LG330" s="25"/>
      <c r="LH330" s="25"/>
      <c r="LI330" s="25"/>
      <c r="LJ330" s="25"/>
      <c r="LK330" s="25"/>
      <c r="LL330" s="25"/>
      <c r="LM330" s="25"/>
      <c r="LN330" s="25"/>
      <c r="LO330" s="25"/>
      <c r="LP330" s="25"/>
      <c r="LQ330" s="25"/>
      <c r="LR330" s="25"/>
      <c r="LS330" s="25"/>
      <c r="LT330" s="25"/>
      <c r="LU330" s="25"/>
      <c r="LV330" s="25"/>
      <c r="LW330" s="25"/>
      <c r="LX330" s="25"/>
      <c r="LY330" s="25"/>
      <c r="LZ330" s="25"/>
      <c r="MA330" s="25"/>
      <c r="MB330" s="25"/>
      <c r="MC330" s="25"/>
      <c r="MD330" s="25"/>
      <c r="ME330" s="25"/>
      <c r="MF330" s="25"/>
      <c r="MG330" s="25"/>
      <c r="MH330" s="25"/>
    </row>
    <row r="331" spans="1:346" s="26" customFormat="1">
      <c r="A331" s="21"/>
      <c r="B331" s="22"/>
      <c r="C331" s="4"/>
      <c r="D331" s="7"/>
      <c r="E331" s="7"/>
      <c r="F331" s="4"/>
      <c r="G331" s="4"/>
      <c r="H331" s="4"/>
      <c r="I331" s="77"/>
      <c r="J331" s="156"/>
      <c r="K331" s="77"/>
      <c r="L331" s="78"/>
      <c r="M331" s="78"/>
      <c r="N331" s="49"/>
      <c r="O331" s="49" t="e">
        <f>IF($E331="posto/hora extra",0,IF(OR(E331="posto/dia",E331="posto/dia líder"),VLOOKUP($C331,'Indicadores Financeiros'!$A$107:$J$119,8,FALSE)+VLOOKUP($C331,'Indicadores Financeiros'!$A$107:$J$119,9,FALSE)+VLOOKUP($C331,'Indicadores Financeiros'!$A$107:$J$119,10,FALSE),IF('Indicadores Financeiros'!$J$91=0,0,(VLOOKUP($C331,'Indicadores Financeiros'!$A$107:$J$119,9,FALSE)+VLOOKUP('Relatório Custo'!$C331,'Indicadores Financeiros'!$A$107:$J$119,10,FALSE)+('Indicadores Financeiros'!$J$87*'Relatório Custo'!$H331)))))</f>
        <v>#N/A</v>
      </c>
      <c r="P331" s="49"/>
      <c r="Q331" s="81"/>
      <c r="R331" s="81"/>
      <c r="S331" s="82"/>
      <c r="T331" s="47"/>
      <c r="U331" s="83"/>
      <c r="V331" s="24"/>
      <c r="W331" s="91"/>
      <c r="X331" s="20"/>
      <c r="Y331" s="114"/>
      <c r="Z331" s="43"/>
      <c r="AA331" s="41"/>
      <c r="AB331" s="25"/>
      <c r="AC331" s="23"/>
      <c r="AD331" s="23"/>
      <c r="AE331" s="154"/>
      <c r="AF331" s="155"/>
      <c r="AG331" s="155"/>
      <c r="AH331" s="31"/>
      <c r="AI331" s="31"/>
      <c r="AJ331" s="31"/>
      <c r="AK331" s="31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  <c r="IV331" s="25"/>
      <c r="IW331" s="25"/>
      <c r="IX331" s="25"/>
      <c r="IY331" s="25"/>
      <c r="IZ331" s="25"/>
      <c r="JA331" s="25"/>
      <c r="JB331" s="25"/>
      <c r="JC331" s="25"/>
      <c r="JD331" s="25"/>
      <c r="JE331" s="25"/>
      <c r="JF331" s="25"/>
      <c r="JG331" s="25"/>
      <c r="JH331" s="25"/>
      <c r="JI331" s="25"/>
      <c r="JJ331" s="25"/>
      <c r="JK331" s="25"/>
      <c r="JL331" s="25"/>
      <c r="JM331" s="25"/>
      <c r="JN331" s="25"/>
      <c r="JO331" s="25"/>
      <c r="JP331" s="25"/>
      <c r="JQ331" s="25"/>
      <c r="JR331" s="25"/>
      <c r="JS331" s="25"/>
      <c r="JT331" s="25"/>
      <c r="JU331" s="25"/>
      <c r="JV331" s="25"/>
      <c r="JW331" s="25"/>
      <c r="JX331" s="25"/>
      <c r="JY331" s="25"/>
      <c r="JZ331" s="25"/>
      <c r="KA331" s="25"/>
      <c r="KB331" s="25"/>
      <c r="KC331" s="25"/>
      <c r="KD331" s="25"/>
      <c r="KE331" s="25"/>
      <c r="KF331" s="25"/>
      <c r="KG331" s="25"/>
      <c r="KH331" s="25"/>
      <c r="KI331" s="25"/>
      <c r="KJ331" s="25"/>
      <c r="KK331" s="25"/>
      <c r="KL331" s="25"/>
      <c r="KM331" s="25"/>
      <c r="KN331" s="25"/>
      <c r="KO331" s="25"/>
      <c r="KP331" s="25"/>
      <c r="KQ331" s="25"/>
      <c r="KR331" s="25"/>
      <c r="KS331" s="25"/>
      <c r="KT331" s="25"/>
      <c r="KU331" s="25"/>
      <c r="KV331" s="25"/>
      <c r="KW331" s="25"/>
      <c r="KX331" s="25"/>
      <c r="KY331" s="25"/>
      <c r="KZ331" s="25"/>
      <c r="LA331" s="25"/>
      <c r="LB331" s="25"/>
      <c r="LC331" s="25"/>
      <c r="LD331" s="25"/>
      <c r="LE331" s="25"/>
      <c r="LF331" s="25"/>
      <c r="LG331" s="25"/>
      <c r="LH331" s="25"/>
      <c r="LI331" s="25"/>
      <c r="LJ331" s="25"/>
      <c r="LK331" s="25"/>
      <c r="LL331" s="25"/>
      <c r="LM331" s="25"/>
      <c r="LN331" s="25"/>
      <c r="LO331" s="25"/>
      <c r="LP331" s="25"/>
      <c r="LQ331" s="25"/>
      <c r="LR331" s="25"/>
      <c r="LS331" s="25"/>
      <c r="LT331" s="25"/>
      <c r="LU331" s="25"/>
      <c r="LV331" s="25"/>
      <c r="LW331" s="25"/>
      <c r="LX331" s="25"/>
      <c r="LY331" s="25"/>
      <c r="LZ331" s="25"/>
      <c r="MA331" s="25"/>
      <c r="MB331" s="25"/>
      <c r="MC331" s="25"/>
      <c r="MD331" s="25"/>
      <c r="ME331" s="25"/>
      <c r="MF331" s="25"/>
      <c r="MG331" s="25"/>
      <c r="MH331" s="25"/>
    </row>
    <row r="332" spans="1:346" s="26" customFormat="1">
      <c r="A332" s="21"/>
      <c r="B332" s="22"/>
      <c r="C332" s="4"/>
      <c r="D332" s="7"/>
      <c r="E332" s="7"/>
      <c r="F332" s="4"/>
      <c r="G332" s="4"/>
      <c r="H332" s="4"/>
      <c r="I332" s="77"/>
      <c r="J332" s="156"/>
      <c r="K332" s="77"/>
      <c r="L332" s="78"/>
      <c r="M332" s="78"/>
      <c r="N332" s="49"/>
      <c r="O332" s="49" t="e">
        <f>IF($E332="posto/hora extra",0,IF(OR(E332="posto/dia",E332="posto/dia líder"),VLOOKUP($C332,'Indicadores Financeiros'!$A$107:$J$119,8,FALSE)+VLOOKUP($C332,'Indicadores Financeiros'!$A$107:$J$119,9,FALSE)+VLOOKUP($C332,'Indicadores Financeiros'!$A$107:$J$119,10,FALSE),IF('Indicadores Financeiros'!$J$91=0,0,(VLOOKUP($C332,'Indicadores Financeiros'!$A$107:$J$119,9,FALSE)+VLOOKUP('Relatório Custo'!$C332,'Indicadores Financeiros'!$A$107:$J$119,10,FALSE)+('Indicadores Financeiros'!$J$87*'Relatório Custo'!$H332)))))</f>
        <v>#N/A</v>
      </c>
      <c r="P332" s="49"/>
      <c r="Q332" s="81"/>
      <c r="R332" s="81"/>
      <c r="S332" s="82"/>
      <c r="T332" s="47"/>
      <c r="U332" s="83"/>
      <c r="V332" s="24"/>
      <c r="W332" s="91"/>
      <c r="X332" s="20"/>
      <c r="Y332" s="114"/>
      <c r="Z332" s="43"/>
      <c r="AA332" s="41"/>
      <c r="AB332" s="25"/>
      <c r="AC332" s="23"/>
      <c r="AD332" s="23"/>
      <c r="AE332" s="154"/>
      <c r="AF332" s="155"/>
      <c r="AG332" s="155"/>
      <c r="AH332" s="31"/>
      <c r="AI332" s="31"/>
      <c r="AJ332" s="31"/>
      <c r="AK332" s="31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  <c r="IW332" s="25"/>
      <c r="IX332" s="25"/>
      <c r="IY332" s="25"/>
      <c r="IZ332" s="25"/>
      <c r="JA332" s="25"/>
      <c r="JB332" s="25"/>
      <c r="JC332" s="25"/>
      <c r="JD332" s="25"/>
      <c r="JE332" s="25"/>
      <c r="JF332" s="25"/>
      <c r="JG332" s="25"/>
      <c r="JH332" s="25"/>
      <c r="JI332" s="25"/>
      <c r="JJ332" s="25"/>
      <c r="JK332" s="25"/>
      <c r="JL332" s="25"/>
      <c r="JM332" s="25"/>
      <c r="JN332" s="25"/>
      <c r="JO332" s="25"/>
      <c r="JP332" s="25"/>
      <c r="JQ332" s="25"/>
      <c r="JR332" s="25"/>
      <c r="JS332" s="25"/>
      <c r="JT332" s="25"/>
      <c r="JU332" s="25"/>
      <c r="JV332" s="25"/>
      <c r="JW332" s="25"/>
      <c r="JX332" s="25"/>
      <c r="JY332" s="25"/>
      <c r="JZ332" s="25"/>
      <c r="KA332" s="25"/>
      <c r="KB332" s="25"/>
      <c r="KC332" s="25"/>
      <c r="KD332" s="25"/>
      <c r="KE332" s="25"/>
      <c r="KF332" s="25"/>
      <c r="KG332" s="25"/>
      <c r="KH332" s="25"/>
      <c r="KI332" s="25"/>
      <c r="KJ332" s="25"/>
      <c r="KK332" s="25"/>
      <c r="KL332" s="25"/>
      <c r="KM332" s="25"/>
      <c r="KN332" s="25"/>
      <c r="KO332" s="25"/>
      <c r="KP332" s="25"/>
      <c r="KQ332" s="25"/>
      <c r="KR332" s="25"/>
      <c r="KS332" s="25"/>
      <c r="KT332" s="25"/>
      <c r="KU332" s="25"/>
      <c r="KV332" s="25"/>
      <c r="KW332" s="25"/>
      <c r="KX332" s="25"/>
      <c r="KY332" s="25"/>
      <c r="KZ332" s="25"/>
      <c r="LA332" s="25"/>
      <c r="LB332" s="25"/>
      <c r="LC332" s="25"/>
      <c r="LD332" s="25"/>
      <c r="LE332" s="25"/>
      <c r="LF332" s="25"/>
      <c r="LG332" s="25"/>
      <c r="LH332" s="25"/>
      <c r="LI332" s="25"/>
      <c r="LJ332" s="25"/>
      <c r="LK332" s="25"/>
      <c r="LL332" s="25"/>
      <c r="LM332" s="25"/>
      <c r="LN332" s="25"/>
      <c r="LO332" s="25"/>
      <c r="LP332" s="25"/>
      <c r="LQ332" s="25"/>
      <c r="LR332" s="25"/>
      <c r="LS332" s="25"/>
      <c r="LT332" s="25"/>
      <c r="LU332" s="25"/>
      <c r="LV332" s="25"/>
      <c r="LW332" s="25"/>
      <c r="LX332" s="25"/>
      <c r="LY332" s="25"/>
      <c r="LZ332" s="25"/>
      <c r="MA332" s="25"/>
      <c r="MB332" s="25"/>
      <c r="MC332" s="25"/>
      <c r="MD332" s="25"/>
      <c r="ME332" s="25"/>
      <c r="MF332" s="25"/>
      <c r="MG332" s="25"/>
      <c r="MH332" s="25"/>
    </row>
    <row r="333" spans="1:346" s="26" customFormat="1">
      <c r="A333" s="21"/>
      <c r="B333" s="22"/>
      <c r="C333" s="4"/>
      <c r="D333" s="7"/>
      <c r="E333" s="7"/>
      <c r="F333" s="4"/>
      <c r="G333" s="4"/>
      <c r="H333" s="4"/>
      <c r="I333" s="77"/>
      <c r="J333" s="156"/>
      <c r="K333" s="77"/>
      <c r="L333" s="78"/>
      <c r="M333" s="78"/>
      <c r="N333" s="49"/>
      <c r="O333" s="49" t="e">
        <f>IF($E333="posto/hora extra",0,IF(OR(E333="posto/dia",E333="posto/dia líder"),VLOOKUP($C333,'Indicadores Financeiros'!$A$107:$J$119,8,FALSE)+VLOOKUP($C333,'Indicadores Financeiros'!$A$107:$J$119,9,FALSE)+VLOOKUP($C333,'Indicadores Financeiros'!$A$107:$J$119,10,FALSE),IF('Indicadores Financeiros'!$J$91=0,0,(VLOOKUP($C333,'Indicadores Financeiros'!$A$107:$J$119,9,FALSE)+VLOOKUP('Relatório Custo'!$C333,'Indicadores Financeiros'!$A$107:$J$119,10,FALSE)+('Indicadores Financeiros'!$J$87*'Relatório Custo'!$H333)))))</f>
        <v>#N/A</v>
      </c>
      <c r="P333" s="49"/>
      <c r="Q333" s="81"/>
      <c r="R333" s="81"/>
      <c r="S333" s="82"/>
      <c r="T333" s="47"/>
      <c r="U333" s="83"/>
      <c r="V333" s="24"/>
      <c r="W333" s="91"/>
      <c r="X333" s="20"/>
      <c r="Y333" s="114"/>
      <c r="Z333" s="43"/>
      <c r="AA333" s="41"/>
      <c r="AB333" s="25"/>
      <c r="AC333" s="23"/>
      <c r="AD333" s="23"/>
      <c r="AE333" s="154"/>
      <c r="AF333" s="155"/>
      <c r="AG333" s="155"/>
      <c r="AH333" s="31"/>
      <c r="AI333" s="31"/>
      <c r="AJ333" s="31"/>
      <c r="AK333" s="31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  <c r="IV333" s="25"/>
      <c r="IW333" s="25"/>
      <c r="IX333" s="25"/>
      <c r="IY333" s="25"/>
      <c r="IZ333" s="25"/>
      <c r="JA333" s="25"/>
      <c r="JB333" s="25"/>
      <c r="JC333" s="25"/>
      <c r="JD333" s="25"/>
      <c r="JE333" s="25"/>
      <c r="JF333" s="25"/>
      <c r="JG333" s="25"/>
      <c r="JH333" s="25"/>
      <c r="JI333" s="25"/>
      <c r="JJ333" s="25"/>
      <c r="JK333" s="25"/>
      <c r="JL333" s="25"/>
      <c r="JM333" s="25"/>
      <c r="JN333" s="25"/>
      <c r="JO333" s="25"/>
      <c r="JP333" s="25"/>
      <c r="JQ333" s="25"/>
      <c r="JR333" s="25"/>
      <c r="JS333" s="25"/>
      <c r="JT333" s="25"/>
      <c r="JU333" s="25"/>
      <c r="JV333" s="25"/>
      <c r="JW333" s="25"/>
      <c r="JX333" s="25"/>
      <c r="JY333" s="25"/>
      <c r="JZ333" s="25"/>
      <c r="KA333" s="25"/>
      <c r="KB333" s="25"/>
      <c r="KC333" s="25"/>
      <c r="KD333" s="25"/>
      <c r="KE333" s="25"/>
      <c r="KF333" s="25"/>
      <c r="KG333" s="25"/>
      <c r="KH333" s="25"/>
      <c r="KI333" s="25"/>
      <c r="KJ333" s="25"/>
      <c r="KK333" s="25"/>
      <c r="KL333" s="25"/>
      <c r="KM333" s="25"/>
      <c r="KN333" s="25"/>
      <c r="KO333" s="25"/>
      <c r="KP333" s="25"/>
      <c r="KQ333" s="25"/>
      <c r="KR333" s="25"/>
      <c r="KS333" s="25"/>
      <c r="KT333" s="25"/>
      <c r="KU333" s="25"/>
      <c r="KV333" s="25"/>
      <c r="KW333" s="25"/>
      <c r="KX333" s="25"/>
      <c r="KY333" s="25"/>
      <c r="KZ333" s="25"/>
      <c r="LA333" s="25"/>
      <c r="LB333" s="25"/>
      <c r="LC333" s="25"/>
      <c r="LD333" s="25"/>
      <c r="LE333" s="25"/>
      <c r="LF333" s="25"/>
      <c r="LG333" s="25"/>
      <c r="LH333" s="25"/>
      <c r="LI333" s="25"/>
      <c r="LJ333" s="25"/>
      <c r="LK333" s="25"/>
      <c r="LL333" s="25"/>
      <c r="LM333" s="25"/>
      <c r="LN333" s="25"/>
      <c r="LO333" s="25"/>
      <c r="LP333" s="25"/>
      <c r="LQ333" s="25"/>
      <c r="LR333" s="25"/>
      <c r="LS333" s="25"/>
      <c r="LT333" s="25"/>
      <c r="LU333" s="25"/>
      <c r="LV333" s="25"/>
      <c r="LW333" s="25"/>
      <c r="LX333" s="25"/>
      <c r="LY333" s="25"/>
      <c r="LZ333" s="25"/>
      <c r="MA333" s="25"/>
      <c r="MB333" s="25"/>
      <c r="MC333" s="25"/>
      <c r="MD333" s="25"/>
      <c r="ME333" s="25"/>
      <c r="MF333" s="25"/>
      <c r="MG333" s="25"/>
      <c r="MH333" s="25"/>
    </row>
    <row r="334" spans="1:346" s="26" customFormat="1">
      <c r="A334" s="21"/>
      <c r="B334" s="22"/>
      <c r="C334" s="4"/>
      <c r="D334" s="7"/>
      <c r="E334" s="7"/>
      <c r="F334" s="4"/>
      <c r="G334" s="4"/>
      <c r="H334" s="4"/>
      <c r="I334" s="77"/>
      <c r="J334" s="156"/>
      <c r="K334" s="77"/>
      <c r="L334" s="78"/>
      <c r="M334" s="78"/>
      <c r="N334" s="49"/>
      <c r="O334" s="49" t="e">
        <f>IF($E334="posto/hora extra",0,IF(OR(E334="posto/dia",E334="posto/dia líder"),VLOOKUP($C334,'Indicadores Financeiros'!$A$107:$J$119,8,FALSE)+VLOOKUP($C334,'Indicadores Financeiros'!$A$107:$J$119,9,FALSE)+VLOOKUP($C334,'Indicadores Financeiros'!$A$107:$J$119,10,FALSE),IF('Indicadores Financeiros'!$J$91=0,0,(VLOOKUP($C334,'Indicadores Financeiros'!$A$107:$J$119,9,FALSE)+VLOOKUP('Relatório Custo'!$C334,'Indicadores Financeiros'!$A$107:$J$119,10,FALSE)+('Indicadores Financeiros'!$J$87*'Relatório Custo'!$H334)))))</f>
        <v>#N/A</v>
      </c>
      <c r="P334" s="49"/>
      <c r="Q334" s="81"/>
      <c r="R334" s="81"/>
      <c r="S334" s="82"/>
      <c r="T334" s="47"/>
      <c r="U334" s="83"/>
      <c r="V334" s="24"/>
      <c r="W334" s="91"/>
      <c r="X334" s="20"/>
      <c r="Y334" s="114"/>
      <c r="Z334" s="43"/>
      <c r="AA334" s="41"/>
      <c r="AB334" s="25"/>
      <c r="AC334" s="23"/>
      <c r="AD334" s="23"/>
      <c r="AE334" s="154"/>
      <c r="AF334" s="155"/>
      <c r="AG334" s="155"/>
      <c r="AH334" s="31"/>
      <c r="AI334" s="31"/>
      <c r="AJ334" s="31"/>
      <c r="AK334" s="31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  <c r="IW334" s="25"/>
      <c r="IX334" s="25"/>
      <c r="IY334" s="25"/>
      <c r="IZ334" s="25"/>
      <c r="JA334" s="25"/>
      <c r="JB334" s="25"/>
      <c r="JC334" s="25"/>
      <c r="JD334" s="25"/>
      <c r="JE334" s="25"/>
      <c r="JF334" s="25"/>
      <c r="JG334" s="25"/>
      <c r="JH334" s="25"/>
      <c r="JI334" s="25"/>
      <c r="JJ334" s="25"/>
      <c r="JK334" s="25"/>
      <c r="JL334" s="25"/>
      <c r="JM334" s="25"/>
      <c r="JN334" s="25"/>
      <c r="JO334" s="25"/>
      <c r="JP334" s="25"/>
      <c r="JQ334" s="25"/>
      <c r="JR334" s="25"/>
      <c r="JS334" s="25"/>
      <c r="JT334" s="25"/>
      <c r="JU334" s="25"/>
      <c r="JV334" s="25"/>
      <c r="JW334" s="25"/>
      <c r="JX334" s="25"/>
      <c r="JY334" s="25"/>
      <c r="JZ334" s="25"/>
      <c r="KA334" s="25"/>
      <c r="KB334" s="25"/>
      <c r="KC334" s="25"/>
      <c r="KD334" s="25"/>
      <c r="KE334" s="25"/>
      <c r="KF334" s="25"/>
      <c r="KG334" s="25"/>
      <c r="KH334" s="25"/>
      <c r="KI334" s="25"/>
      <c r="KJ334" s="25"/>
      <c r="KK334" s="25"/>
      <c r="KL334" s="25"/>
      <c r="KM334" s="25"/>
      <c r="KN334" s="25"/>
      <c r="KO334" s="25"/>
      <c r="KP334" s="25"/>
      <c r="KQ334" s="25"/>
      <c r="KR334" s="25"/>
      <c r="KS334" s="25"/>
      <c r="KT334" s="25"/>
      <c r="KU334" s="25"/>
      <c r="KV334" s="25"/>
      <c r="KW334" s="25"/>
      <c r="KX334" s="25"/>
      <c r="KY334" s="25"/>
      <c r="KZ334" s="25"/>
      <c r="LA334" s="25"/>
      <c r="LB334" s="25"/>
      <c r="LC334" s="25"/>
      <c r="LD334" s="25"/>
      <c r="LE334" s="25"/>
      <c r="LF334" s="25"/>
      <c r="LG334" s="25"/>
      <c r="LH334" s="25"/>
      <c r="LI334" s="25"/>
      <c r="LJ334" s="25"/>
      <c r="LK334" s="25"/>
      <c r="LL334" s="25"/>
      <c r="LM334" s="25"/>
      <c r="LN334" s="25"/>
      <c r="LO334" s="25"/>
      <c r="LP334" s="25"/>
      <c r="LQ334" s="25"/>
      <c r="LR334" s="25"/>
      <c r="LS334" s="25"/>
      <c r="LT334" s="25"/>
      <c r="LU334" s="25"/>
      <c r="LV334" s="25"/>
      <c r="LW334" s="25"/>
      <c r="LX334" s="25"/>
      <c r="LY334" s="25"/>
      <c r="LZ334" s="25"/>
      <c r="MA334" s="25"/>
      <c r="MB334" s="25"/>
      <c r="MC334" s="25"/>
      <c r="MD334" s="25"/>
      <c r="ME334" s="25"/>
      <c r="MF334" s="25"/>
      <c r="MG334" s="25"/>
      <c r="MH334" s="25"/>
    </row>
    <row r="335" spans="1:346" s="26" customFormat="1">
      <c r="A335" s="21"/>
      <c r="B335" s="22"/>
      <c r="C335" s="4"/>
      <c r="D335" s="7"/>
      <c r="E335" s="7"/>
      <c r="F335" s="4"/>
      <c r="G335" s="4"/>
      <c r="H335" s="4"/>
      <c r="I335" s="77"/>
      <c r="J335" s="156"/>
      <c r="K335" s="77"/>
      <c r="L335" s="78"/>
      <c r="M335" s="78"/>
      <c r="N335" s="49"/>
      <c r="O335" s="49" t="e">
        <f>IF($E335="posto/hora extra",0,IF(OR(E335="posto/dia",E335="posto/dia líder"),VLOOKUP($C335,'Indicadores Financeiros'!$A$107:$J$119,8,FALSE)+VLOOKUP($C335,'Indicadores Financeiros'!$A$107:$J$119,9,FALSE)+VLOOKUP($C335,'Indicadores Financeiros'!$A$107:$J$119,10,FALSE),IF('Indicadores Financeiros'!$J$91=0,0,(VLOOKUP($C335,'Indicadores Financeiros'!$A$107:$J$119,9,FALSE)+VLOOKUP('Relatório Custo'!$C335,'Indicadores Financeiros'!$A$107:$J$119,10,FALSE)+('Indicadores Financeiros'!$J$87*'Relatório Custo'!$H335)))))</f>
        <v>#N/A</v>
      </c>
      <c r="P335" s="49"/>
      <c r="Q335" s="81"/>
      <c r="R335" s="81"/>
      <c r="S335" s="82"/>
      <c r="T335" s="47"/>
      <c r="U335" s="83"/>
      <c r="V335" s="24"/>
      <c r="W335" s="91"/>
      <c r="X335" s="20"/>
      <c r="Y335" s="114"/>
      <c r="Z335" s="43"/>
      <c r="AA335" s="41"/>
      <c r="AB335" s="25"/>
      <c r="AC335" s="23"/>
      <c r="AD335" s="23"/>
      <c r="AE335" s="154"/>
      <c r="AF335" s="155"/>
      <c r="AG335" s="155"/>
      <c r="AH335" s="31"/>
      <c r="AI335" s="31"/>
      <c r="AJ335" s="31"/>
      <c r="AK335" s="31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  <c r="IW335" s="25"/>
      <c r="IX335" s="25"/>
      <c r="IY335" s="25"/>
      <c r="IZ335" s="25"/>
      <c r="JA335" s="25"/>
      <c r="JB335" s="25"/>
      <c r="JC335" s="25"/>
      <c r="JD335" s="25"/>
      <c r="JE335" s="25"/>
      <c r="JF335" s="25"/>
      <c r="JG335" s="25"/>
      <c r="JH335" s="25"/>
      <c r="JI335" s="25"/>
      <c r="JJ335" s="25"/>
      <c r="JK335" s="25"/>
      <c r="JL335" s="25"/>
      <c r="JM335" s="25"/>
      <c r="JN335" s="25"/>
      <c r="JO335" s="25"/>
      <c r="JP335" s="25"/>
      <c r="JQ335" s="25"/>
      <c r="JR335" s="25"/>
      <c r="JS335" s="25"/>
      <c r="JT335" s="25"/>
      <c r="JU335" s="25"/>
      <c r="JV335" s="25"/>
      <c r="JW335" s="25"/>
      <c r="JX335" s="25"/>
      <c r="JY335" s="25"/>
      <c r="JZ335" s="25"/>
      <c r="KA335" s="25"/>
      <c r="KB335" s="25"/>
      <c r="KC335" s="25"/>
      <c r="KD335" s="25"/>
      <c r="KE335" s="25"/>
      <c r="KF335" s="25"/>
      <c r="KG335" s="25"/>
      <c r="KH335" s="25"/>
      <c r="KI335" s="25"/>
      <c r="KJ335" s="25"/>
      <c r="KK335" s="25"/>
      <c r="KL335" s="25"/>
      <c r="KM335" s="25"/>
      <c r="KN335" s="25"/>
      <c r="KO335" s="25"/>
      <c r="KP335" s="25"/>
      <c r="KQ335" s="25"/>
      <c r="KR335" s="25"/>
      <c r="KS335" s="25"/>
      <c r="KT335" s="25"/>
      <c r="KU335" s="25"/>
      <c r="KV335" s="25"/>
      <c r="KW335" s="25"/>
      <c r="KX335" s="25"/>
      <c r="KY335" s="25"/>
      <c r="KZ335" s="25"/>
      <c r="LA335" s="25"/>
      <c r="LB335" s="25"/>
      <c r="LC335" s="25"/>
      <c r="LD335" s="25"/>
      <c r="LE335" s="25"/>
      <c r="LF335" s="25"/>
      <c r="LG335" s="25"/>
      <c r="LH335" s="25"/>
      <c r="LI335" s="25"/>
      <c r="LJ335" s="25"/>
      <c r="LK335" s="25"/>
      <c r="LL335" s="25"/>
      <c r="LM335" s="25"/>
      <c r="LN335" s="25"/>
      <c r="LO335" s="25"/>
      <c r="LP335" s="25"/>
      <c r="LQ335" s="25"/>
      <c r="LR335" s="25"/>
      <c r="LS335" s="25"/>
      <c r="LT335" s="25"/>
      <c r="LU335" s="25"/>
      <c r="LV335" s="25"/>
      <c r="LW335" s="25"/>
      <c r="LX335" s="25"/>
      <c r="LY335" s="25"/>
      <c r="LZ335" s="25"/>
      <c r="MA335" s="25"/>
      <c r="MB335" s="25"/>
      <c r="MC335" s="25"/>
      <c r="MD335" s="25"/>
      <c r="ME335" s="25"/>
      <c r="MF335" s="25"/>
      <c r="MG335" s="25"/>
      <c r="MH335" s="25"/>
    </row>
    <row r="336" spans="1:346" s="26" customFormat="1">
      <c r="A336" s="21"/>
      <c r="B336" s="22"/>
      <c r="C336" s="4"/>
      <c r="D336" s="7"/>
      <c r="E336" s="7"/>
      <c r="F336" s="4"/>
      <c r="G336" s="4"/>
      <c r="H336" s="4"/>
      <c r="I336" s="77"/>
      <c r="J336" s="156"/>
      <c r="K336" s="77"/>
      <c r="L336" s="78"/>
      <c r="M336" s="78"/>
      <c r="N336" s="49"/>
      <c r="O336" s="49" t="e">
        <f>IF($E336="posto/hora extra",0,IF(OR(E336="posto/dia",E336="posto/dia líder"),VLOOKUP($C336,'Indicadores Financeiros'!$A$107:$J$119,8,FALSE)+VLOOKUP($C336,'Indicadores Financeiros'!$A$107:$J$119,9,FALSE)+VLOOKUP($C336,'Indicadores Financeiros'!$A$107:$J$119,10,FALSE),IF('Indicadores Financeiros'!$J$91=0,0,(VLOOKUP($C336,'Indicadores Financeiros'!$A$107:$J$119,9,FALSE)+VLOOKUP('Relatório Custo'!$C336,'Indicadores Financeiros'!$A$107:$J$119,10,FALSE)+('Indicadores Financeiros'!$J$87*'Relatório Custo'!$H336)))))</f>
        <v>#N/A</v>
      </c>
      <c r="P336" s="49"/>
      <c r="Q336" s="81"/>
      <c r="R336" s="81"/>
      <c r="S336" s="82"/>
      <c r="T336" s="47"/>
      <c r="U336" s="83"/>
      <c r="V336" s="24"/>
      <c r="W336" s="91"/>
      <c r="X336" s="20"/>
      <c r="Y336" s="114"/>
      <c r="Z336" s="43"/>
      <c r="AA336" s="41"/>
      <c r="AB336" s="25"/>
      <c r="AC336" s="23"/>
      <c r="AD336" s="23"/>
      <c r="AE336" s="154"/>
      <c r="AF336" s="155"/>
      <c r="AG336" s="155"/>
      <c r="AH336" s="31"/>
      <c r="AI336" s="31"/>
      <c r="AJ336" s="31"/>
      <c r="AK336" s="31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  <c r="IW336" s="25"/>
      <c r="IX336" s="25"/>
      <c r="IY336" s="25"/>
      <c r="IZ336" s="25"/>
      <c r="JA336" s="25"/>
      <c r="JB336" s="25"/>
      <c r="JC336" s="25"/>
      <c r="JD336" s="25"/>
      <c r="JE336" s="25"/>
      <c r="JF336" s="25"/>
      <c r="JG336" s="25"/>
      <c r="JH336" s="25"/>
      <c r="JI336" s="25"/>
      <c r="JJ336" s="25"/>
      <c r="JK336" s="25"/>
      <c r="JL336" s="25"/>
      <c r="JM336" s="25"/>
      <c r="JN336" s="25"/>
      <c r="JO336" s="25"/>
      <c r="JP336" s="25"/>
      <c r="JQ336" s="25"/>
      <c r="JR336" s="25"/>
      <c r="JS336" s="25"/>
      <c r="JT336" s="25"/>
      <c r="JU336" s="25"/>
      <c r="JV336" s="25"/>
      <c r="JW336" s="25"/>
      <c r="JX336" s="25"/>
      <c r="JY336" s="25"/>
      <c r="JZ336" s="25"/>
      <c r="KA336" s="25"/>
      <c r="KB336" s="25"/>
      <c r="KC336" s="25"/>
      <c r="KD336" s="25"/>
      <c r="KE336" s="25"/>
      <c r="KF336" s="25"/>
      <c r="KG336" s="25"/>
      <c r="KH336" s="25"/>
      <c r="KI336" s="25"/>
      <c r="KJ336" s="25"/>
      <c r="KK336" s="25"/>
      <c r="KL336" s="25"/>
      <c r="KM336" s="25"/>
      <c r="KN336" s="25"/>
      <c r="KO336" s="25"/>
      <c r="KP336" s="25"/>
      <c r="KQ336" s="25"/>
      <c r="KR336" s="25"/>
      <c r="KS336" s="25"/>
      <c r="KT336" s="25"/>
      <c r="KU336" s="25"/>
      <c r="KV336" s="25"/>
      <c r="KW336" s="25"/>
      <c r="KX336" s="25"/>
      <c r="KY336" s="25"/>
      <c r="KZ336" s="25"/>
      <c r="LA336" s="25"/>
      <c r="LB336" s="25"/>
      <c r="LC336" s="25"/>
      <c r="LD336" s="25"/>
      <c r="LE336" s="25"/>
      <c r="LF336" s="25"/>
      <c r="LG336" s="25"/>
      <c r="LH336" s="25"/>
      <c r="LI336" s="25"/>
      <c r="LJ336" s="25"/>
      <c r="LK336" s="25"/>
      <c r="LL336" s="25"/>
      <c r="LM336" s="25"/>
      <c r="LN336" s="25"/>
      <c r="LO336" s="25"/>
      <c r="LP336" s="25"/>
      <c r="LQ336" s="25"/>
      <c r="LR336" s="25"/>
      <c r="LS336" s="25"/>
      <c r="LT336" s="25"/>
      <c r="LU336" s="25"/>
      <c r="LV336" s="25"/>
      <c r="LW336" s="25"/>
      <c r="LX336" s="25"/>
      <c r="LY336" s="25"/>
      <c r="LZ336" s="25"/>
      <c r="MA336" s="25"/>
      <c r="MB336" s="25"/>
      <c r="MC336" s="25"/>
      <c r="MD336" s="25"/>
      <c r="ME336" s="25"/>
      <c r="MF336" s="25"/>
      <c r="MG336" s="25"/>
      <c r="MH336" s="25"/>
    </row>
    <row r="337" spans="1:346" s="26" customFormat="1">
      <c r="A337" s="21"/>
      <c r="B337" s="22"/>
      <c r="C337" s="4"/>
      <c r="D337" s="7"/>
      <c r="E337" s="7"/>
      <c r="F337" s="4"/>
      <c r="G337" s="4"/>
      <c r="H337" s="4"/>
      <c r="I337" s="77"/>
      <c r="J337" s="156"/>
      <c r="K337" s="77"/>
      <c r="L337" s="78"/>
      <c r="M337" s="78"/>
      <c r="N337" s="49"/>
      <c r="O337" s="49" t="e">
        <f>IF($E337="posto/hora extra",0,IF(OR(E337="posto/dia",E337="posto/dia líder"),VLOOKUP($C337,'Indicadores Financeiros'!$A$107:$J$119,8,FALSE)+VLOOKUP($C337,'Indicadores Financeiros'!$A$107:$J$119,9,FALSE)+VLOOKUP($C337,'Indicadores Financeiros'!$A$107:$J$119,10,FALSE),IF('Indicadores Financeiros'!$J$91=0,0,(VLOOKUP($C337,'Indicadores Financeiros'!$A$107:$J$119,9,FALSE)+VLOOKUP('Relatório Custo'!$C337,'Indicadores Financeiros'!$A$107:$J$119,10,FALSE)+('Indicadores Financeiros'!$J$87*'Relatório Custo'!$H337)))))</f>
        <v>#N/A</v>
      </c>
      <c r="P337" s="49"/>
      <c r="Q337" s="81"/>
      <c r="R337" s="81"/>
      <c r="S337" s="82"/>
      <c r="T337" s="47"/>
      <c r="U337" s="83"/>
      <c r="V337" s="24"/>
      <c r="W337" s="91"/>
      <c r="X337" s="20"/>
      <c r="Y337" s="114"/>
      <c r="Z337" s="43"/>
      <c r="AA337" s="41"/>
      <c r="AB337" s="25"/>
      <c r="AC337" s="23"/>
      <c r="AD337" s="23"/>
      <c r="AE337" s="154"/>
      <c r="AF337" s="155"/>
      <c r="AG337" s="155"/>
      <c r="AH337" s="31"/>
      <c r="AI337" s="31"/>
      <c r="AJ337" s="31"/>
      <c r="AK337" s="31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  <c r="IV337" s="25"/>
      <c r="IW337" s="25"/>
      <c r="IX337" s="25"/>
      <c r="IY337" s="25"/>
      <c r="IZ337" s="25"/>
      <c r="JA337" s="25"/>
      <c r="JB337" s="25"/>
      <c r="JC337" s="25"/>
      <c r="JD337" s="25"/>
      <c r="JE337" s="25"/>
      <c r="JF337" s="25"/>
      <c r="JG337" s="25"/>
      <c r="JH337" s="25"/>
      <c r="JI337" s="25"/>
      <c r="JJ337" s="25"/>
      <c r="JK337" s="25"/>
      <c r="JL337" s="25"/>
      <c r="JM337" s="25"/>
      <c r="JN337" s="25"/>
      <c r="JO337" s="25"/>
      <c r="JP337" s="25"/>
      <c r="JQ337" s="25"/>
      <c r="JR337" s="25"/>
      <c r="JS337" s="25"/>
      <c r="JT337" s="25"/>
      <c r="JU337" s="25"/>
      <c r="JV337" s="25"/>
      <c r="JW337" s="25"/>
      <c r="JX337" s="25"/>
      <c r="JY337" s="25"/>
      <c r="JZ337" s="25"/>
      <c r="KA337" s="25"/>
      <c r="KB337" s="25"/>
      <c r="KC337" s="25"/>
      <c r="KD337" s="25"/>
      <c r="KE337" s="25"/>
      <c r="KF337" s="25"/>
      <c r="KG337" s="25"/>
      <c r="KH337" s="25"/>
      <c r="KI337" s="25"/>
      <c r="KJ337" s="25"/>
      <c r="KK337" s="25"/>
      <c r="KL337" s="25"/>
      <c r="KM337" s="25"/>
      <c r="KN337" s="25"/>
      <c r="KO337" s="25"/>
      <c r="KP337" s="25"/>
      <c r="KQ337" s="25"/>
      <c r="KR337" s="25"/>
      <c r="KS337" s="25"/>
      <c r="KT337" s="25"/>
      <c r="KU337" s="25"/>
      <c r="KV337" s="25"/>
      <c r="KW337" s="25"/>
      <c r="KX337" s="25"/>
      <c r="KY337" s="25"/>
      <c r="KZ337" s="25"/>
      <c r="LA337" s="25"/>
      <c r="LB337" s="25"/>
      <c r="LC337" s="25"/>
      <c r="LD337" s="25"/>
      <c r="LE337" s="25"/>
      <c r="LF337" s="25"/>
      <c r="LG337" s="25"/>
      <c r="LH337" s="25"/>
      <c r="LI337" s="25"/>
      <c r="LJ337" s="25"/>
      <c r="LK337" s="25"/>
      <c r="LL337" s="25"/>
      <c r="LM337" s="25"/>
      <c r="LN337" s="25"/>
      <c r="LO337" s="25"/>
      <c r="LP337" s="25"/>
      <c r="LQ337" s="25"/>
      <c r="LR337" s="25"/>
      <c r="LS337" s="25"/>
      <c r="LT337" s="25"/>
      <c r="LU337" s="25"/>
      <c r="LV337" s="25"/>
      <c r="LW337" s="25"/>
      <c r="LX337" s="25"/>
      <c r="LY337" s="25"/>
      <c r="LZ337" s="25"/>
      <c r="MA337" s="25"/>
      <c r="MB337" s="25"/>
      <c r="MC337" s="25"/>
      <c r="MD337" s="25"/>
      <c r="ME337" s="25"/>
      <c r="MF337" s="25"/>
      <c r="MG337" s="25"/>
      <c r="MH337" s="25"/>
    </row>
    <row r="338" spans="1:346" s="26" customFormat="1">
      <c r="A338" s="21"/>
      <c r="B338" s="22"/>
      <c r="C338" s="4"/>
      <c r="D338" s="7"/>
      <c r="E338" s="7"/>
      <c r="F338" s="4"/>
      <c r="G338" s="4"/>
      <c r="H338" s="4"/>
      <c r="I338" s="77"/>
      <c r="J338" s="156"/>
      <c r="K338" s="77"/>
      <c r="L338" s="78"/>
      <c r="M338" s="78"/>
      <c r="N338" s="49"/>
      <c r="O338" s="49" t="e">
        <f>IF($E338="posto/hora extra",0,IF(OR(E338="posto/dia",E338="posto/dia líder"),VLOOKUP($C338,'Indicadores Financeiros'!$A$107:$J$119,8,FALSE)+VLOOKUP($C338,'Indicadores Financeiros'!$A$107:$J$119,9,FALSE)+VLOOKUP($C338,'Indicadores Financeiros'!$A$107:$J$119,10,FALSE),IF('Indicadores Financeiros'!$J$91=0,0,(VLOOKUP($C338,'Indicadores Financeiros'!$A$107:$J$119,9,FALSE)+VLOOKUP('Relatório Custo'!$C338,'Indicadores Financeiros'!$A$107:$J$119,10,FALSE)+('Indicadores Financeiros'!$J$87*'Relatório Custo'!$H338)))))</f>
        <v>#N/A</v>
      </c>
      <c r="P338" s="49"/>
      <c r="Q338" s="81"/>
      <c r="R338" s="81"/>
      <c r="S338" s="82"/>
      <c r="T338" s="47"/>
      <c r="U338" s="83"/>
      <c r="V338" s="24"/>
      <c r="W338" s="91"/>
      <c r="X338" s="20"/>
      <c r="Y338" s="114"/>
      <c r="Z338" s="43"/>
      <c r="AA338" s="41"/>
      <c r="AB338" s="25"/>
      <c r="AC338" s="23"/>
      <c r="AD338" s="23"/>
      <c r="AE338" s="154"/>
      <c r="AF338" s="155"/>
      <c r="AG338" s="155"/>
      <c r="AH338" s="31"/>
      <c r="AI338" s="31"/>
      <c r="AJ338" s="31"/>
      <c r="AK338" s="31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  <c r="IV338" s="25"/>
      <c r="IW338" s="25"/>
      <c r="IX338" s="25"/>
      <c r="IY338" s="25"/>
      <c r="IZ338" s="25"/>
      <c r="JA338" s="25"/>
      <c r="JB338" s="25"/>
      <c r="JC338" s="25"/>
      <c r="JD338" s="25"/>
      <c r="JE338" s="25"/>
      <c r="JF338" s="25"/>
      <c r="JG338" s="25"/>
      <c r="JH338" s="25"/>
      <c r="JI338" s="25"/>
      <c r="JJ338" s="25"/>
      <c r="JK338" s="25"/>
      <c r="JL338" s="25"/>
      <c r="JM338" s="25"/>
      <c r="JN338" s="25"/>
      <c r="JO338" s="25"/>
      <c r="JP338" s="25"/>
      <c r="JQ338" s="25"/>
      <c r="JR338" s="25"/>
      <c r="JS338" s="25"/>
      <c r="JT338" s="25"/>
      <c r="JU338" s="25"/>
      <c r="JV338" s="25"/>
      <c r="JW338" s="25"/>
      <c r="JX338" s="25"/>
      <c r="JY338" s="25"/>
      <c r="JZ338" s="25"/>
      <c r="KA338" s="25"/>
      <c r="KB338" s="25"/>
      <c r="KC338" s="25"/>
      <c r="KD338" s="25"/>
      <c r="KE338" s="25"/>
      <c r="KF338" s="25"/>
      <c r="KG338" s="25"/>
      <c r="KH338" s="25"/>
      <c r="KI338" s="25"/>
      <c r="KJ338" s="25"/>
      <c r="KK338" s="25"/>
      <c r="KL338" s="25"/>
      <c r="KM338" s="25"/>
      <c r="KN338" s="25"/>
      <c r="KO338" s="25"/>
      <c r="KP338" s="25"/>
      <c r="KQ338" s="25"/>
      <c r="KR338" s="25"/>
      <c r="KS338" s="25"/>
      <c r="KT338" s="25"/>
      <c r="KU338" s="25"/>
      <c r="KV338" s="25"/>
      <c r="KW338" s="25"/>
      <c r="KX338" s="25"/>
      <c r="KY338" s="25"/>
      <c r="KZ338" s="25"/>
      <c r="LA338" s="25"/>
      <c r="LB338" s="25"/>
      <c r="LC338" s="25"/>
      <c r="LD338" s="25"/>
      <c r="LE338" s="25"/>
      <c r="LF338" s="25"/>
      <c r="LG338" s="25"/>
      <c r="LH338" s="25"/>
      <c r="LI338" s="25"/>
      <c r="LJ338" s="25"/>
      <c r="LK338" s="25"/>
      <c r="LL338" s="25"/>
      <c r="LM338" s="25"/>
      <c r="LN338" s="25"/>
      <c r="LO338" s="25"/>
      <c r="LP338" s="25"/>
      <c r="LQ338" s="25"/>
      <c r="LR338" s="25"/>
      <c r="LS338" s="25"/>
      <c r="LT338" s="25"/>
      <c r="LU338" s="25"/>
      <c r="LV338" s="25"/>
      <c r="LW338" s="25"/>
      <c r="LX338" s="25"/>
      <c r="LY338" s="25"/>
      <c r="LZ338" s="25"/>
      <c r="MA338" s="25"/>
      <c r="MB338" s="25"/>
      <c r="MC338" s="25"/>
      <c r="MD338" s="25"/>
      <c r="ME338" s="25"/>
      <c r="MF338" s="25"/>
      <c r="MG338" s="25"/>
      <c r="MH338" s="25"/>
    </row>
    <row r="339" spans="1:346" s="26" customFormat="1">
      <c r="A339" s="21"/>
      <c r="B339" s="22"/>
      <c r="C339" s="4"/>
      <c r="D339" s="7"/>
      <c r="E339" s="7"/>
      <c r="F339" s="4"/>
      <c r="G339" s="4"/>
      <c r="H339" s="4"/>
      <c r="I339" s="77"/>
      <c r="J339" s="156"/>
      <c r="K339" s="77"/>
      <c r="L339" s="78"/>
      <c r="M339" s="78"/>
      <c r="N339" s="49"/>
      <c r="O339" s="49" t="e">
        <f>IF($E339="posto/hora extra",0,IF(OR(E339="posto/dia",E339="posto/dia líder"),VLOOKUP($C339,'Indicadores Financeiros'!$A$107:$J$119,8,FALSE)+VLOOKUP($C339,'Indicadores Financeiros'!$A$107:$J$119,9,FALSE)+VLOOKUP($C339,'Indicadores Financeiros'!$A$107:$J$119,10,FALSE),IF('Indicadores Financeiros'!$J$91=0,0,(VLOOKUP($C339,'Indicadores Financeiros'!$A$107:$J$119,9,FALSE)+VLOOKUP('Relatório Custo'!$C339,'Indicadores Financeiros'!$A$107:$J$119,10,FALSE)+('Indicadores Financeiros'!$J$87*'Relatório Custo'!$H339)))))</f>
        <v>#N/A</v>
      </c>
      <c r="P339" s="49"/>
      <c r="Q339" s="81"/>
      <c r="R339" s="81"/>
      <c r="S339" s="82"/>
      <c r="T339" s="47"/>
      <c r="U339" s="83"/>
      <c r="V339" s="24"/>
      <c r="W339" s="91"/>
      <c r="X339" s="20"/>
      <c r="Y339" s="114"/>
      <c r="Z339" s="43"/>
      <c r="AA339" s="41"/>
      <c r="AB339" s="25"/>
      <c r="AC339" s="23"/>
      <c r="AD339" s="23"/>
      <c r="AE339" s="154"/>
      <c r="AF339" s="155"/>
      <c r="AG339" s="155"/>
      <c r="AH339" s="31"/>
      <c r="AI339" s="31"/>
      <c r="AJ339" s="31"/>
      <c r="AK339" s="31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  <c r="IV339" s="25"/>
      <c r="IW339" s="25"/>
      <c r="IX339" s="25"/>
      <c r="IY339" s="25"/>
      <c r="IZ339" s="25"/>
      <c r="JA339" s="25"/>
      <c r="JB339" s="25"/>
      <c r="JC339" s="25"/>
      <c r="JD339" s="25"/>
      <c r="JE339" s="25"/>
      <c r="JF339" s="25"/>
      <c r="JG339" s="25"/>
      <c r="JH339" s="25"/>
      <c r="JI339" s="25"/>
      <c r="JJ339" s="25"/>
      <c r="JK339" s="25"/>
      <c r="JL339" s="25"/>
      <c r="JM339" s="25"/>
      <c r="JN339" s="25"/>
      <c r="JO339" s="25"/>
      <c r="JP339" s="25"/>
      <c r="JQ339" s="25"/>
      <c r="JR339" s="25"/>
      <c r="JS339" s="25"/>
      <c r="JT339" s="25"/>
      <c r="JU339" s="25"/>
      <c r="JV339" s="25"/>
      <c r="JW339" s="25"/>
      <c r="JX339" s="25"/>
      <c r="JY339" s="25"/>
      <c r="JZ339" s="25"/>
      <c r="KA339" s="25"/>
      <c r="KB339" s="25"/>
      <c r="KC339" s="25"/>
      <c r="KD339" s="25"/>
      <c r="KE339" s="25"/>
      <c r="KF339" s="25"/>
      <c r="KG339" s="25"/>
      <c r="KH339" s="25"/>
      <c r="KI339" s="25"/>
      <c r="KJ339" s="25"/>
      <c r="KK339" s="25"/>
      <c r="KL339" s="25"/>
      <c r="KM339" s="25"/>
      <c r="KN339" s="25"/>
      <c r="KO339" s="25"/>
      <c r="KP339" s="25"/>
      <c r="KQ339" s="25"/>
      <c r="KR339" s="25"/>
      <c r="KS339" s="25"/>
      <c r="KT339" s="25"/>
      <c r="KU339" s="25"/>
      <c r="KV339" s="25"/>
      <c r="KW339" s="25"/>
      <c r="KX339" s="25"/>
      <c r="KY339" s="25"/>
      <c r="KZ339" s="25"/>
      <c r="LA339" s="25"/>
      <c r="LB339" s="25"/>
      <c r="LC339" s="25"/>
      <c r="LD339" s="25"/>
      <c r="LE339" s="25"/>
      <c r="LF339" s="25"/>
      <c r="LG339" s="25"/>
      <c r="LH339" s="25"/>
      <c r="LI339" s="25"/>
      <c r="LJ339" s="25"/>
      <c r="LK339" s="25"/>
      <c r="LL339" s="25"/>
      <c r="LM339" s="25"/>
      <c r="LN339" s="25"/>
      <c r="LO339" s="25"/>
      <c r="LP339" s="25"/>
      <c r="LQ339" s="25"/>
      <c r="LR339" s="25"/>
      <c r="LS339" s="25"/>
      <c r="LT339" s="25"/>
      <c r="LU339" s="25"/>
      <c r="LV339" s="25"/>
      <c r="LW339" s="25"/>
      <c r="LX339" s="25"/>
      <c r="LY339" s="25"/>
      <c r="LZ339" s="25"/>
      <c r="MA339" s="25"/>
      <c r="MB339" s="25"/>
      <c r="MC339" s="25"/>
      <c r="MD339" s="25"/>
      <c r="ME339" s="25"/>
      <c r="MF339" s="25"/>
      <c r="MG339" s="25"/>
      <c r="MH339" s="25"/>
    </row>
    <row r="340" spans="1:346" s="26" customFormat="1">
      <c r="A340" s="21"/>
      <c r="B340" s="22"/>
      <c r="C340" s="4"/>
      <c r="D340" s="7"/>
      <c r="E340" s="7"/>
      <c r="F340" s="4"/>
      <c r="G340" s="4"/>
      <c r="H340" s="4"/>
      <c r="I340" s="77"/>
      <c r="J340" s="156"/>
      <c r="K340" s="77"/>
      <c r="L340" s="78"/>
      <c r="M340" s="78"/>
      <c r="N340" s="49"/>
      <c r="O340" s="49" t="e">
        <f>IF($E340="posto/hora extra",0,IF(OR(E340="posto/dia",E340="posto/dia líder"),VLOOKUP($C340,'Indicadores Financeiros'!$A$107:$J$119,8,FALSE)+VLOOKUP($C340,'Indicadores Financeiros'!$A$107:$J$119,9,FALSE)+VLOOKUP($C340,'Indicadores Financeiros'!$A$107:$J$119,10,FALSE),IF('Indicadores Financeiros'!$J$91=0,0,(VLOOKUP($C340,'Indicadores Financeiros'!$A$107:$J$119,9,FALSE)+VLOOKUP('Relatório Custo'!$C340,'Indicadores Financeiros'!$A$107:$J$119,10,FALSE)+('Indicadores Financeiros'!$J$87*'Relatório Custo'!$H340)))))</f>
        <v>#N/A</v>
      </c>
      <c r="P340" s="49"/>
      <c r="Q340" s="81"/>
      <c r="R340" s="81"/>
      <c r="S340" s="82"/>
      <c r="T340" s="47"/>
      <c r="U340" s="83"/>
      <c r="V340" s="24"/>
      <c r="W340" s="91"/>
      <c r="X340" s="20"/>
      <c r="Y340" s="114"/>
      <c r="Z340" s="43"/>
      <c r="AA340" s="41"/>
      <c r="AB340" s="25"/>
      <c r="AC340" s="23"/>
      <c r="AD340" s="23"/>
      <c r="AE340" s="154"/>
      <c r="AF340" s="155"/>
      <c r="AG340" s="155"/>
      <c r="AH340" s="31"/>
      <c r="AI340" s="31"/>
      <c r="AJ340" s="31"/>
      <c r="AK340" s="31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  <c r="IV340" s="25"/>
      <c r="IW340" s="25"/>
      <c r="IX340" s="25"/>
      <c r="IY340" s="25"/>
      <c r="IZ340" s="25"/>
      <c r="JA340" s="25"/>
      <c r="JB340" s="25"/>
      <c r="JC340" s="25"/>
      <c r="JD340" s="25"/>
      <c r="JE340" s="25"/>
      <c r="JF340" s="25"/>
      <c r="JG340" s="25"/>
      <c r="JH340" s="25"/>
      <c r="JI340" s="25"/>
      <c r="JJ340" s="25"/>
      <c r="JK340" s="25"/>
      <c r="JL340" s="25"/>
      <c r="JM340" s="25"/>
      <c r="JN340" s="25"/>
      <c r="JO340" s="25"/>
      <c r="JP340" s="25"/>
      <c r="JQ340" s="25"/>
      <c r="JR340" s="25"/>
      <c r="JS340" s="25"/>
      <c r="JT340" s="25"/>
      <c r="JU340" s="25"/>
      <c r="JV340" s="25"/>
      <c r="JW340" s="25"/>
      <c r="JX340" s="25"/>
      <c r="JY340" s="25"/>
      <c r="JZ340" s="25"/>
      <c r="KA340" s="25"/>
      <c r="KB340" s="25"/>
      <c r="KC340" s="25"/>
      <c r="KD340" s="25"/>
      <c r="KE340" s="25"/>
      <c r="KF340" s="25"/>
      <c r="KG340" s="25"/>
      <c r="KH340" s="25"/>
      <c r="KI340" s="25"/>
      <c r="KJ340" s="25"/>
      <c r="KK340" s="25"/>
      <c r="KL340" s="25"/>
      <c r="KM340" s="25"/>
      <c r="KN340" s="25"/>
      <c r="KO340" s="25"/>
      <c r="KP340" s="25"/>
      <c r="KQ340" s="25"/>
      <c r="KR340" s="25"/>
      <c r="KS340" s="25"/>
      <c r="KT340" s="25"/>
      <c r="KU340" s="25"/>
      <c r="KV340" s="25"/>
      <c r="KW340" s="25"/>
      <c r="KX340" s="25"/>
      <c r="KY340" s="25"/>
      <c r="KZ340" s="25"/>
      <c r="LA340" s="25"/>
      <c r="LB340" s="25"/>
      <c r="LC340" s="25"/>
      <c r="LD340" s="25"/>
      <c r="LE340" s="25"/>
      <c r="LF340" s="25"/>
      <c r="LG340" s="25"/>
      <c r="LH340" s="25"/>
      <c r="LI340" s="25"/>
      <c r="LJ340" s="25"/>
      <c r="LK340" s="25"/>
      <c r="LL340" s="25"/>
      <c r="LM340" s="25"/>
      <c r="LN340" s="25"/>
      <c r="LO340" s="25"/>
      <c r="LP340" s="25"/>
      <c r="LQ340" s="25"/>
      <c r="LR340" s="25"/>
      <c r="LS340" s="25"/>
      <c r="LT340" s="25"/>
      <c r="LU340" s="25"/>
      <c r="LV340" s="25"/>
      <c r="LW340" s="25"/>
      <c r="LX340" s="25"/>
      <c r="LY340" s="25"/>
      <c r="LZ340" s="25"/>
      <c r="MA340" s="25"/>
      <c r="MB340" s="25"/>
      <c r="MC340" s="25"/>
      <c r="MD340" s="25"/>
      <c r="ME340" s="25"/>
      <c r="MF340" s="25"/>
      <c r="MG340" s="25"/>
      <c r="MH340" s="25"/>
    </row>
    <row r="341" spans="1:346" s="26" customFormat="1">
      <c r="A341" s="21"/>
      <c r="B341" s="22"/>
      <c r="C341" s="4"/>
      <c r="D341" s="7"/>
      <c r="E341" s="7"/>
      <c r="F341" s="4"/>
      <c r="G341" s="4"/>
      <c r="H341" s="4"/>
      <c r="I341" s="77"/>
      <c r="J341" s="156"/>
      <c r="K341" s="77"/>
      <c r="L341" s="78"/>
      <c r="M341" s="78"/>
      <c r="N341" s="49"/>
      <c r="O341" s="49" t="e">
        <f>IF($E341="posto/hora extra",0,IF(OR(E341="posto/dia",E341="posto/dia líder"),VLOOKUP($C341,'Indicadores Financeiros'!$A$107:$J$119,8,FALSE)+VLOOKUP($C341,'Indicadores Financeiros'!$A$107:$J$119,9,FALSE)+VLOOKUP($C341,'Indicadores Financeiros'!$A$107:$J$119,10,FALSE),IF('Indicadores Financeiros'!$J$91=0,0,(VLOOKUP($C341,'Indicadores Financeiros'!$A$107:$J$119,9,FALSE)+VLOOKUP('Relatório Custo'!$C341,'Indicadores Financeiros'!$A$107:$J$119,10,FALSE)+('Indicadores Financeiros'!$J$87*'Relatório Custo'!$H341)))))</f>
        <v>#N/A</v>
      </c>
      <c r="P341" s="49"/>
      <c r="Q341" s="81"/>
      <c r="R341" s="81"/>
      <c r="S341" s="82"/>
      <c r="T341" s="47"/>
      <c r="U341" s="83"/>
      <c r="V341" s="24"/>
      <c r="W341" s="91"/>
      <c r="X341" s="20"/>
      <c r="Y341" s="114"/>
      <c r="Z341" s="43"/>
      <c r="AA341" s="41"/>
      <c r="AB341" s="25"/>
      <c r="AC341" s="23"/>
      <c r="AD341" s="23"/>
      <c r="AE341" s="154"/>
      <c r="AF341" s="155"/>
      <c r="AG341" s="155"/>
      <c r="AH341" s="31"/>
      <c r="AI341" s="31"/>
      <c r="AJ341" s="31"/>
      <c r="AK341" s="31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  <c r="IV341" s="25"/>
      <c r="IW341" s="25"/>
      <c r="IX341" s="25"/>
      <c r="IY341" s="25"/>
      <c r="IZ341" s="25"/>
      <c r="JA341" s="25"/>
      <c r="JB341" s="25"/>
      <c r="JC341" s="25"/>
      <c r="JD341" s="25"/>
      <c r="JE341" s="25"/>
      <c r="JF341" s="25"/>
      <c r="JG341" s="25"/>
      <c r="JH341" s="25"/>
      <c r="JI341" s="25"/>
      <c r="JJ341" s="25"/>
      <c r="JK341" s="25"/>
      <c r="JL341" s="25"/>
      <c r="JM341" s="25"/>
      <c r="JN341" s="25"/>
      <c r="JO341" s="25"/>
      <c r="JP341" s="25"/>
      <c r="JQ341" s="25"/>
      <c r="JR341" s="25"/>
      <c r="JS341" s="25"/>
      <c r="JT341" s="25"/>
      <c r="JU341" s="25"/>
      <c r="JV341" s="25"/>
      <c r="JW341" s="25"/>
      <c r="JX341" s="25"/>
      <c r="JY341" s="25"/>
      <c r="JZ341" s="25"/>
      <c r="KA341" s="25"/>
      <c r="KB341" s="25"/>
      <c r="KC341" s="25"/>
      <c r="KD341" s="25"/>
      <c r="KE341" s="25"/>
      <c r="KF341" s="25"/>
      <c r="KG341" s="25"/>
      <c r="KH341" s="25"/>
      <c r="KI341" s="25"/>
      <c r="KJ341" s="25"/>
      <c r="KK341" s="25"/>
      <c r="KL341" s="25"/>
      <c r="KM341" s="25"/>
      <c r="KN341" s="25"/>
      <c r="KO341" s="25"/>
      <c r="KP341" s="25"/>
      <c r="KQ341" s="25"/>
      <c r="KR341" s="25"/>
      <c r="KS341" s="25"/>
      <c r="KT341" s="25"/>
      <c r="KU341" s="25"/>
      <c r="KV341" s="25"/>
      <c r="KW341" s="25"/>
      <c r="KX341" s="25"/>
      <c r="KY341" s="25"/>
      <c r="KZ341" s="25"/>
      <c r="LA341" s="25"/>
      <c r="LB341" s="25"/>
      <c r="LC341" s="25"/>
      <c r="LD341" s="25"/>
      <c r="LE341" s="25"/>
      <c r="LF341" s="25"/>
      <c r="LG341" s="25"/>
      <c r="LH341" s="25"/>
      <c r="LI341" s="25"/>
      <c r="LJ341" s="25"/>
      <c r="LK341" s="25"/>
      <c r="LL341" s="25"/>
      <c r="LM341" s="25"/>
      <c r="LN341" s="25"/>
      <c r="LO341" s="25"/>
      <c r="LP341" s="25"/>
      <c r="LQ341" s="25"/>
      <c r="LR341" s="25"/>
      <c r="LS341" s="25"/>
      <c r="LT341" s="25"/>
      <c r="LU341" s="25"/>
      <c r="LV341" s="25"/>
      <c r="LW341" s="25"/>
      <c r="LX341" s="25"/>
      <c r="LY341" s="25"/>
      <c r="LZ341" s="25"/>
      <c r="MA341" s="25"/>
      <c r="MB341" s="25"/>
      <c r="MC341" s="25"/>
      <c r="MD341" s="25"/>
      <c r="ME341" s="25"/>
      <c r="MF341" s="25"/>
      <c r="MG341" s="25"/>
      <c r="MH341" s="25"/>
    </row>
    <row r="342" spans="1:346" s="26" customFormat="1">
      <c r="A342" s="21"/>
      <c r="B342" s="22"/>
      <c r="C342" s="4"/>
      <c r="D342" s="7"/>
      <c r="E342" s="7"/>
      <c r="F342" s="4"/>
      <c r="G342" s="4"/>
      <c r="H342" s="4"/>
      <c r="I342" s="77"/>
      <c r="J342" s="156"/>
      <c r="K342" s="77"/>
      <c r="L342" s="78"/>
      <c r="M342" s="78"/>
      <c r="N342" s="49"/>
      <c r="O342" s="49" t="e">
        <f>IF($E342="posto/hora extra",0,IF(OR(E342="posto/dia",E342="posto/dia líder"),VLOOKUP($C342,'Indicadores Financeiros'!$A$107:$J$119,8,FALSE)+VLOOKUP($C342,'Indicadores Financeiros'!$A$107:$J$119,9,FALSE)+VLOOKUP($C342,'Indicadores Financeiros'!$A$107:$J$119,10,FALSE),IF('Indicadores Financeiros'!$J$91=0,0,(VLOOKUP($C342,'Indicadores Financeiros'!$A$107:$J$119,9,FALSE)+VLOOKUP('Relatório Custo'!$C342,'Indicadores Financeiros'!$A$107:$J$119,10,FALSE)+('Indicadores Financeiros'!$J$87*'Relatório Custo'!$H342)))))</f>
        <v>#N/A</v>
      </c>
      <c r="P342" s="49"/>
      <c r="Q342" s="81"/>
      <c r="R342" s="81"/>
      <c r="S342" s="82"/>
      <c r="T342" s="47"/>
      <c r="U342" s="83"/>
      <c r="V342" s="24"/>
      <c r="W342" s="91"/>
      <c r="X342" s="20"/>
      <c r="Y342" s="114"/>
      <c r="Z342" s="43"/>
      <c r="AA342" s="41"/>
      <c r="AB342" s="25"/>
      <c r="AC342" s="23"/>
      <c r="AD342" s="23"/>
      <c r="AE342" s="154"/>
      <c r="AF342" s="155"/>
      <c r="AG342" s="155"/>
      <c r="AH342" s="31"/>
      <c r="AI342" s="31"/>
      <c r="AJ342" s="31"/>
      <c r="AK342" s="31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  <c r="IV342" s="25"/>
      <c r="IW342" s="25"/>
      <c r="IX342" s="25"/>
      <c r="IY342" s="25"/>
      <c r="IZ342" s="25"/>
      <c r="JA342" s="25"/>
      <c r="JB342" s="25"/>
      <c r="JC342" s="25"/>
      <c r="JD342" s="25"/>
      <c r="JE342" s="25"/>
      <c r="JF342" s="25"/>
      <c r="JG342" s="25"/>
      <c r="JH342" s="25"/>
      <c r="JI342" s="25"/>
      <c r="JJ342" s="25"/>
      <c r="JK342" s="25"/>
      <c r="JL342" s="25"/>
      <c r="JM342" s="25"/>
      <c r="JN342" s="25"/>
      <c r="JO342" s="25"/>
      <c r="JP342" s="25"/>
      <c r="JQ342" s="25"/>
      <c r="JR342" s="25"/>
      <c r="JS342" s="25"/>
      <c r="JT342" s="25"/>
      <c r="JU342" s="25"/>
      <c r="JV342" s="25"/>
      <c r="JW342" s="25"/>
      <c r="JX342" s="25"/>
      <c r="JY342" s="25"/>
      <c r="JZ342" s="25"/>
      <c r="KA342" s="25"/>
      <c r="KB342" s="25"/>
      <c r="KC342" s="25"/>
      <c r="KD342" s="25"/>
      <c r="KE342" s="25"/>
      <c r="KF342" s="25"/>
      <c r="KG342" s="25"/>
      <c r="KH342" s="25"/>
      <c r="KI342" s="25"/>
      <c r="KJ342" s="25"/>
      <c r="KK342" s="25"/>
      <c r="KL342" s="25"/>
      <c r="KM342" s="25"/>
      <c r="KN342" s="25"/>
      <c r="KO342" s="25"/>
      <c r="KP342" s="25"/>
      <c r="KQ342" s="25"/>
      <c r="KR342" s="25"/>
      <c r="KS342" s="25"/>
      <c r="KT342" s="25"/>
      <c r="KU342" s="25"/>
      <c r="KV342" s="25"/>
      <c r="KW342" s="25"/>
      <c r="KX342" s="25"/>
      <c r="KY342" s="25"/>
      <c r="KZ342" s="25"/>
      <c r="LA342" s="25"/>
      <c r="LB342" s="25"/>
      <c r="LC342" s="25"/>
      <c r="LD342" s="25"/>
      <c r="LE342" s="25"/>
      <c r="LF342" s="25"/>
      <c r="LG342" s="25"/>
      <c r="LH342" s="25"/>
      <c r="LI342" s="25"/>
      <c r="LJ342" s="25"/>
      <c r="LK342" s="25"/>
      <c r="LL342" s="25"/>
      <c r="LM342" s="25"/>
      <c r="LN342" s="25"/>
      <c r="LO342" s="25"/>
      <c r="LP342" s="25"/>
      <c r="LQ342" s="25"/>
      <c r="LR342" s="25"/>
      <c r="LS342" s="25"/>
      <c r="LT342" s="25"/>
      <c r="LU342" s="25"/>
      <c r="LV342" s="25"/>
      <c r="LW342" s="25"/>
      <c r="LX342" s="25"/>
      <c r="LY342" s="25"/>
      <c r="LZ342" s="25"/>
      <c r="MA342" s="25"/>
      <c r="MB342" s="25"/>
      <c r="MC342" s="25"/>
      <c r="MD342" s="25"/>
      <c r="ME342" s="25"/>
      <c r="MF342" s="25"/>
      <c r="MG342" s="25"/>
      <c r="MH342" s="25"/>
    </row>
    <row r="343" spans="1:346" s="26" customFormat="1">
      <c r="A343" s="21"/>
      <c r="B343" s="22"/>
      <c r="C343" s="4"/>
      <c r="D343" s="7"/>
      <c r="E343" s="7"/>
      <c r="F343" s="4"/>
      <c r="G343" s="4"/>
      <c r="H343" s="4"/>
      <c r="I343" s="77"/>
      <c r="J343" s="156"/>
      <c r="K343" s="77"/>
      <c r="L343" s="78"/>
      <c r="M343" s="78"/>
      <c r="N343" s="49"/>
      <c r="O343" s="49" t="e">
        <f>IF($E343="posto/hora extra",0,IF(OR(E343="posto/dia",E343="posto/dia líder"),VLOOKUP($C343,'Indicadores Financeiros'!$A$107:$J$119,8,FALSE)+VLOOKUP($C343,'Indicadores Financeiros'!$A$107:$J$119,9,FALSE)+VLOOKUP($C343,'Indicadores Financeiros'!$A$107:$J$119,10,FALSE),IF('Indicadores Financeiros'!$J$91=0,0,(VLOOKUP($C343,'Indicadores Financeiros'!$A$107:$J$119,9,FALSE)+VLOOKUP('Relatório Custo'!$C343,'Indicadores Financeiros'!$A$107:$J$119,10,FALSE)+('Indicadores Financeiros'!$J$87*'Relatório Custo'!$H343)))))</f>
        <v>#N/A</v>
      </c>
      <c r="P343" s="49"/>
      <c r="Q343" s="81"/>
      <c r="R343" s="81"/>
      <c r="S343" s="82"/>
      <c r="T343" s="47"/>
      <c r="U343" s="83"/>
      <c r="V343" s="24"/>
      <c r="W343" s="91"/>
      <c r="X343" s="20"/>
      <c r="Y343" s="114"/>
      <c r="Z343" s="43"/>
      <c r="AA343" s="41"/>
      <c r="AB343" s="25"/>
      <c r="AC343" s="23"/>
      <c r="AD343" s="23"/>
      <c r="AE343" s="154"/>
      <c r="AF343" s="155"/>
      <c r="AG343" s="155"/>
      <c r="AH343" s="31"/>
      <c r="AI343" s="31"/>
      <c r="AJ343" s="31"/>
      <c r="AK343" s="31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  <c r="IV343" s="25"/>
      <c r="IW343" s="25"/>
      <c r="IX343" s="25"/>
      <c r="IY343" s="25"/>
      <c r="IZ343" s="25"/>
      <c r="JA343" s="25"/>
      <c r="JB343" s="25"/>
      <c r="JC343" s="25"/>
      <c r="JD343" s="25"/>
      <c r="JE343" s="25"/>
      <c r="JF343" s="25"/>
      <c r="JG343" s="25"/>
      <c r="JH343" s="25"/>
      <c r="JI343" s="25"/>
      <c r="JJ343" s="25"/>
      <c r="JK343" s="25"/>
      <c r="JL343" s="25"/>
      <c r="JM343" s="25"/>
      <c r="JN343" s="25"/>
      <c r="JO343" s="25"/>
      <c r="JP343" s="25"/>
      <c r="JQ343" s="25"/>
      <c r="JR343" s="25"/>
      <c r="JS343" s="25"/>
      <c r="JT343" s="25"/>
      <c r="JU343" s="25"/>
      <c r="JV343" s="25"/>
      <c r="JW343" s="25"/>
      <c r="JX343" s="25"/>
      <c r="JY343" s="25"/>
      <c r="JZ343" s="25"/>
      <c r="KA343" s="25"/>
      <c r="KB343" s="25"/>
      <c r="KC343" s="25"/>
      <c r="KD343" s="25"/>
      <c r="KE343" s="25"/>
      <c r="KF343" s="25"/>
      <c r="KG343" s="25"/>
      <c r="KH343" s="25"/>
      <c r="KI343" s="25"/>
      <c r="KJ343" s="25"/>
      <c r="KK343" s="25"/>
      <c r="KL343" s="25"/>
      <c r="KM343" s="25"/>
      <c r="KN343" s="25"/>
      <c r="KO343" s="25"/>
      <c r="KP343" s="25"/>
      <c r="KQ343" s="25"/>
      <c r="KR343" s="25"/>
      <c r="KS343" s="25"/>
      <c r="KT343" s="25"/>
      <c r="KU343" s="25"/>
      <c r="KV343" s="25"/>
      <c r="KW343" s="25"/>
      <c r="KX343" s="25"/>
      <c r="KY343" s="25"/>
      <c r="KZ343" s="25"/>
      <c r="LA343" s="25"/>
      <c r="LB343" s="25"/>
      <c r="LC343" s="25"/>
      <c r="LD343" s="25"/>
      <c r="LE343" s="25"/>
      <c r="LF343" s="25"/>
      <c r="LG343" s="25"/>
      <c r="LH343" s="25"/>
      <c r="LI343" s="25"/>
      <c r="LJ343" s="25"/>
      <c r="LK343" s="25"/>
      <c r="LL343" s="25"/>
      <c r="LM343" s="25"/>
      <c r="LN343" s="25"/>
      <c r="LO343" s="25"/>
      <c r="LP343" s="25"/>
      <c r="LQ343" s="25"/>
      <c r="LR343" s="25"/>
      <c r="LS343" s="25"/>
      <c r="LT343" s="25"/>
      <c r="LU343" s="25"/>
      <c r="LV343" s="25"/>
      <c r="LW343" s="25"/>
      <c r="LX343" s="25"/>
      <c r="LY343" s="25"/>
      <c r="LZ343" s="25"/>
      <c r="MA343" s="25"/>
      <c r="MB343" s="25"/>
      <c r="MC343" s="25"/>
      <c r="MD343" s="25"/>
      <c r="ME343" s="25"/>
      <c r="MF343" s="25"/>
      <c r="MG343" s="25"/>
      <c r="MH343" s="25"/>
    </row>
    <row r="344" spans="1:346" s="26" customFormat="1">
      <c r="A344" s="21"/>
      <c r="B344" s="22"/>
      <c r="C344" s="4"/>
      <c r="D344" s="7"/>
      <c r="E344" s="7"/>
      <c r="F344" s="4"/>
      <c r="G344" s="4"/>
      <c r="H344" s="4"/>
      <c r="I344" s="77"/>
      <c r="J344" s="156"/>
      <c r="K344" s="77"/>
      <c r="L344" s="78"/>
      <c r="M344" s="78"/>
      <c r="N344" s="49"/>
      <c r="O344" s="49" t="e">
        <f>IF($E344="posto/hora extra",0,IF(OR(E344="posto/dia",E344="posto/dia líder"),VLOOKUP($C344,'Indicadores Financeiros'!$A$107:$J$119,8,FALSE)+VLOOKUP($C344,'Indicadores Financeiros'!$A$107:$J$119,9,FALSE)+VLOOKUP($C344,'Indicadores Financeiros'!$A$107:$J$119,10,FALSE),IF('Indicadores Financeiros'!$J$91=0,0,(VLOOKUP($C344,'Indicadores Financeiros'!$A$107:$J$119,9,FALSE)+VLOOKUP('Relatório Custo'!$C344,'Indicadores Financeiros'!$A$107:$J$119,10,FALSE)+('Indicadores Financeiros'!$J$87*'Relatório Custo'!$H344)))))</f>
        <v>#N/A</v>
      </c>
      <c r="P344" s="49"/>
      <c r="Q344" s="81"/>
      <c r="R344" s="81"/>
      <c r="S344" s="82"/>
      <c r="T344" s="47"/>
      <c r="U344" s="83"/>
      <c r="V344" s="24"/>
      <c r="W344" s="91"/>
      <c r="X344" s="20"/>
      <c r="Y344" s="114"/>
      <c r="Z344" s="43"/>
      <c r="AA344" s="41"/>
      <c r="AB344" s="25"/>
      <c r="AC344" s="23"/>
      <c r="AD344" s="23"/>
      <c r="AE344" s="154"/>
      <c r="AF344" s="155"/>
      <c r="AG344" s="155"/>
      <c r="AH344" s="31"/>
      <c r="AI344" s="31"/>
      <c r="AJ344" s="31"/>
      <c r="AK344" s="31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  <c r="IV344" s="25"/>
      <c r="IW344" s="25"/>
      <c r="IX344" s="25"/>
      <c r="IY344" s="25"/>
      <c r="IZ344" s="25"/>
      <c r="JA344" s="25"/>
      <c r="JB344" s="25"/>
      <c r="JC344" s="25"/>
      <c r="JD344" s="25"/>
      <c r="JE344" s="25"/>
      <c r="JF344" s="25"/>
      <c r="JG344" s="25"/>
      <c r="JH344" s="25"/>
      <c r="JI344" s="25"/>
      <c r="JJ344" s="25"/>
      <c r="JK344" s="25"/>
      <c r="JL344" s="25"/>
      <c r="JM344" s="25"/>
      <c r="JN344" s="25"/>
      <c r="JO344" s="25"/>
      <c r="JP344" s="25"/>
      <c r="JQ344" s="25"/>
      <c r="JR344" s="25"/>
      <c r="JS344" s="25"/>
      <c r="JT344" s="25"/>
      <c r="JU344" s="25"/>
      <c r="JV344" s="25"/>
      <c r="JW344" s="25"/>
      <c r="JX344" s="25"/>
      <c r="JY344" s="25"/>
      <c r="JZ344" s="25"/>
      <c r="KA344" s="25"/>
      <c r="KB344" s="25"/>
      <c r="KC344" s="25"/>
      <c r="KD344" s="25"/>
      <c r="KE344" s="25"/>
      <c r="KF344" s="25"/>
      <c r="KG344" s="25"/>
      <c r="KH344" s="25"/>
      <c r="KI344" s="25"/>
      <c r="KJ344" s="25"/>
      <c r="KK344" s="25"/>
      <c r="KL344" s="25"/>
      <c r="KM344" s="25"/>
      <c r="KN344" s="25"/>
      <c r="KO344" s="25"/>
      <c r="KP344" s="25"/>
      <c r="KQ344" s="25"/>
      <c r="KR344" s="25"/>
      <c r="KS344" s="25"/>
      <c r="KT344" s="25"/>
      <c r="KU344" s="25"/>
      <c r="KV344" s="25"/>
      <c r="KW344" s="25"/>
      <c r="KX344" s="25"/>
      <c r="KY344" s="25"/>
      <c r="KZ344" s="25"/>
      <c r="LA344" s="25"/>
      <c r="LB344" s="25"/>
      <c r="LC344" s="25"/>
      <c r="LD344" s="25"/>
      <c r="LE344" s="25"/>
      <c r="LF344" s="25"/>
      <c r="LG344" s="25"/>
      <c r="LH344" s="25"/>
      <c r="LI344" s="25"/>
      <c r="LJ344" s="25"/>
      <c r="LK344" s="25"/>
      <c r="LL344" s="25"/>
      <c r="LM344" s="25"/>
      <c r="LN344" s="25"/>
      <c r="LO344" s="25"/>
      <c r="LP344" s="25"/>
      <c r="LQ344" s="25"/>
      <c r="LR344" s="25"/>
      <c r="LS344" s="25"/>
      <c r="LT344" s="25"/>
      <c r="LU344" s="25"/>
      <c r="LV344" s="25"/>
      <c r="LW344" s="25"/>
      <c r="LX344" s="25"/>
      <c r="LY344" s="25"/>
      <c r="LZ344" s="25"/>
      <c r="MA344" s="25"/>
      <c r="MB344" s="25"/>
      <c r="MC344" s="25"/>
      <c r="MD344" s="25"/>
      <c r="ME344" s="25"/>
      <c r="MF344" s="25"/>
      <c r="MG344" s="25"/>
      <c r="MH344" s="25"/>
    </row>
    <row r="345" spans="1:346" s="26" customFormat="1">
      <c r="A345" s="21"/>
      <c r="B345" s="22"/>
      <c r="C345" s="4"/>
      <c r="D345" s="7"/>
      <c r="E345" s="7"/>
      <c r="F345" s="4"/>
      <c r="G345" s="4"/>
      <c r="H345" s="4"/>
      <c r="I345" s="77"/>
      <c r="J345" s="156"/>
      <c r="K345" s="77"/>
      <c r="L345" s="78"/>
      <c r="M345" s="78"/>
      <c r="N345" s="49"/>
      <c r="O345" s="49" t="e">
        <f>IF($E345="posto/hora extra",0,IF(OR(E345="posto/dia",E345="posto/dia líder"),VLOOKUP($C345,'Indicadores Financeiros'!$A$107:$J$119,8,FALSE)+VLOOKUP($C345,'Indicadores Financeiros'!$A$107:$J$119,9,FALSE)+VLOOKUP($C345,'Indicadores Financeiros'!$A$107:$J$119,10,FALSE),IF('Indicadores Financeiros'!$J$91=0,0,(VLOOKUP($C345,'Indicadores Financeiros'!$A$107:$J$119,9,FALSE)+VLOOKUP('Relatório Custo'!$C345,'Indicadores Financeiros'!$A$107:$J$119,10,FALSE)+('Indicadores Financeiros'!$J$87*'Relatório Custo'!$H345)))))</f>
        <v>#N/A</v>
      </c>
      <c r="P345" s="49"/>
      <c r="Q345" s="81"/>
      <c r="R345" s="81"/>
      <c r="S345" s="82"/>
      <c r="T345" s="47"/>
      <c r="U345" s="83"/>
      <c r="V345" s="24"/>
      <c r="W345" s="91"/>
      <c r="X345" s="20"/>
      <c r="Y345" s="114"/>
      <c r="Z345" s="43"/>
      <c r="AA345" s="41"/>
      <c r="AB345" s="25"/>
      <c r="AC345" s="23"/>
      <c r="AD345" s="23"/>
      <c r="AE345" s="154"/>
      <c r="AF345" s="155"/>
      <c r="AG345" s="155"/>
      <c r="AH345" s="31"/>
      <c r="AI345" s="31"/>
      <c r="AJ345" s="31"/>
      <c r="AK345" s="31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  <c r="IV345" s="25"/>
      <c r="IW345" s="25"/>
      <c r="IX345" s="25"/>
      <c r="IY345" s="25"/>
      <c r="IZ345" s="25"/>
      <c r="JA345" s="25"/>
      <c r="JB345" s="25"/>
      <c r="JC345" s="25"/>
      <c r="JD345" s="25"/>
      <c r="JE345" s="25"/>
      <c r="JF345" s="25"/>
      <c r="JG345" s="25"/>
      <c r="JH345" s="25"/>
      <c r="JI345" s="25"/>
      <c r="JJ345" s="25"/>
      <c r="JK345" s="25"/>
      <c r="JL345" s="25"/>
      <c r="JM345" s="25"/>
      <c r="JN345" s="25"/>
      <c r="JO345" s="25"/>
      <c r="JP345" s="25"/>
      <c r="JQ345" s="25"/>
      <c r="JR345" s="25"/>
      <c r="JS345" s="25"/>
      <c r="JT345" s="25"/>
      <c r="JU345" s="25"/>
      <c r="JV345" s="25"/>
      <c r="JW345" s="25"/>
      <c r="JX345" s="25"/>
      <c r="JY345" s="25"/>
      <c r="JZ345" s="25"/>
      <c r="KA345" s="25"/>
      <c r="KB345" s="25"/>
      <c r="KC345" s="25"/>
      <c r="KD345" s="25"/>
      <c r="KE345" s="25"/>
      <c r="KF345" s="25"/>
      <c r="KG345" s="25"/>
      <c r="KH345" s="25"/>
      <c r="KI345" s="25"/>
      <c r="KJ345" s="25"/>
      <c r="KK345" s="25"/>
      <c r="KL345" s="25"/>
      <c r="KM345" s="25"/>
      <c r="KN345" s="25"/>
      <c r="KO345" s="25"/>
      <c r="KP345" s="25"/>
      <c r="KQ345" s="25"/>
      <c r="KR345" s="25"/>
      <c r="KS345" s="25"/>
      <c r="KT345" s="25"/>
      <c r="KU345" s="25"/>
      <c r="KV345" s="25"/>
      <c r="KW345" s="25"/>
      <c r="KX345" s="25"/>
      <c r="KY345" s="25"/>
      <c r="KZ345" s="25"/>
      <c r="LA345" s="25"/>
      <c r="LB345" s="25"/>
      <c r="LC345" s="25"/>
      <c r="LD345" s="25"/>
      <c r="LE345" s="25"/>
      <c r="LF345" s="25"/>
      <c r="LG345" s="25"/>
      <c r="LH345" s="25"/>
      <c r="LI345" s="25"/>
      <c r="LJ345" s="25"/>
      <c r="LK345" s="25"/>
      <c r="LL345" s="25"/>
      <c r="LM345" s="25"/>
      <c r="LN345" s="25"/>
      <c r="LO345" s="25"/>
      <c r="LP345" s="25"/>
      <c r="LQ345" s="25"/>
      <c r="LR345" s="25"/>
      <c r="LS345" s="25"/>
      <c r="LT345" s="25"/>
      <c r="LU345" s="25"/>
      <c r="LV345" s="25"/>
      <c r="LW345" s="25"/>
      <c r="LX345" s="25"/>
      <c r="LY345" s="25"/>
      <c r="LZ345" s="25"/>
      <c r="MA345" s="25"/>
      <c r="MB345" s="25"/>
      <c r="MC345" s="25"/>
      <c r="MD345" s="25"/>
      <c r="ME345" s="25"/>
      <c r="MF345" s="25"/>
      <c r="MG345" s="25"/>
      <c r="MH345" s="25"/>
    </row>
    <row r="346" spans="1:346" s="26" customFormat="1">
      <c r="A346" s="21"/>
      <c r="B346" s="22"/>
      <c r="C346" s="4"/>
      <c r="D346" s="7"/>
      <c r="E346" s="7"/>
      <c r="F346" s="4"/>
      <c r="G346" s="4"/>
      <c r="H346" s="4"/>
      <c r="I346" s="77"/>
      <c r="J346" s="156"/>
      <c r="K346" s="77"/>
      <c r="L346" s="78"/>
      <c r="M346" s="78"/>
      <c r="N346" s="49"/>
      <c r="O346" s="49" t="e">
        <f>IF($E346="posto/hora extra",0,IF(OR(E346="posto/dia",E346="posto/dia líder"),VLOOKUP($C346,'Indicadores Financeiros'!$A$107:$J$119,8,FALSE)+VLOOKUP($C346,'Indicadores Financeiros'!$A$107:$J$119,9,FALSE)+VLOOKUP($C346,'Indicadores Financeiros'!$A$107:$J$119,10,FALSE),IF('Indicadores Financeiros'!$J$91=0,0,(VLOOKUP($C346,'Indicadores Financeiros'!$A$107:$J$119,9,FALSE)+VLOOKUP('Relatório Custo'!$C346,'Indicadores Financeiros'!$A$107:$J$119,10,FALSE)+('Indicadores Financeiros'!$J$87*'Relatório Custo'!$H346)))))</f>
        <v>#N/A</v>
      </c>
      <c r="P346" s="49"/>
      <c r="Q346" s="81"/>
      <c r="R346" s="81"/>
      <c r="S346" s="82"/>
      <c r="T346" s="47"/>
      <c r="U346" s="83"/>
      <c r="V346" s="24"/>
      <c r="W346" s="91"/>
      <c r="X346" s="20"/>
      <c r="Y346" s="114"/>
      <c r="Z346" s="43"/>
      <c r="AA346" s="41"/>
      <c r="AB346" s="25"/>
      <c r="AC346" s="23"/>
      <c r="AD346" s="23"/>
      <c r="AE346" s="154"/>
      <c r="AF346" s="155"/>
      <c r="AG346" s="155"/>
      <c r="AH346" s="31"/>
      <c r="AI346" s="31"/>
      <c r="AJ346" s="31"/>
      <c r="AK346" s="31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  <c r="IV346" s="25"/>
      <c r="IW346" s="25"/>
      <c r="IX346" s="25"/>
      <c r="IY346" s="25"/>
      <c r="IZ346" s="25"/>
      <c r="JA346" s="25"/>
      <c r="JB346" s="25"/>
      <c r="JC346" s="25"/>
      <c r="JD346" s="25"/>
      <c r="JE346" s="25"/>
      <c r="JF346" s="25"/>
      <c r="JG346" s="25"/>
      <c r="JH346" s="25"/>
      <c r="JI346" s="25"/>
      <c r="JJ346" s="25"/>
      <c r="JK346" s="25"/>
      <c r="JL346" s="25"/>
      <c r="JM346" s="25"/>
      <c r="JN346" s="25"/>
      <c r="JO346" s="25"/>
      <c r="JP346" s="25"/>
      <c r="JQ346" s="25"/>
      <c r="JR346" s="25"/>
      <c r="JS346" s="25"/>
      <c r="JT346" s="25"/>
      <c r="JU346" s="25"/>
      <c r="JV346" s="25"/>
      <c r="JW346" s="25"/>
      <c r="JX346" s="25"/>
      <c r="JY346" s="25"/>
      <c r="JZ346" s="25"/>
      <c r="KA346" s="25"/>
      <c r="KB346" s="25"/>
      <c r="KC346" s="25"/>
      <c r="KD346" s="25"/>
      <c r="KE346" s="25"/>
      <c r="KF346" s="25"/>
      <c r="KG346" s="25"/>
      <c r="KH346" s="25"/>
      <c r="KI346" s="25"/>
      <c r="KJ346" s="25"/>
      <c r="KK346" s="25"/>
      <c r="KL346" s="25"/>
      <c r="KM346" s="25"/>
      <c r="KN346" s="25"/>
      <c r="KO346" s="25"/>
      <c r="KP346" s="25"/>
      <c r="KQ346" s="25"/>
      <c r="KR346" s="25"/>
      <c r="KS346" s="25"/>
      <c r="KT346" s="25"/>
      <c r="KU346" s="25"/>
      <c r="KV346" s="25"/>
      <c r="KW346" s="25"/>
      <c r="KX346" s="25"/>
      <c r="KY346" s="25"/>
      <c r="KZ346" s="25"/>
      <c r="LA346" s="25"/>
      <c r="LB346" s="25"/>
      <c r="LC346" s="25"/>
      <c r="LD346" s="25"/>
      <c r="LE346" s="25"/>
      <c r="LF346" s="25"/>
      <c r="LG346" s="25"/>
      <c r="LH346" s="25"/>
      <c r="LI346" s="25"/>
      <c r="LJ346" s="25"/>
      <c r="LK346" s="25"/>
      <c r="LL346" s="25"/>
      <c r="LM346" s="25"/>
      <c r="LN346" s="25"/>
      <c r="LO346" s="25"/>
      <c r="LP346" s="25"/>
      <c r="LQ346" s="25"/>
      <c r="LR346" s="25"/>
      <c r="LS346" s="25"/>
      <c r="LT346" s="25"/>
      <c r="LU346" s="25"/>
      <c r="LV346" s="25"/>
      <c r="LW346" s="25"/>
      <c r="LX346" s="25"/>
      <c r="LY346" s="25"/>
      <c r="LZ346" s="25"/>
      <c r="MA346" s="25"/>
      <c r="MB346" s="25"/>
      <c r="MC346" s="25"/>
      <c r="MD346" s="25"/>
      <c r="ME346" s="25"/>
      <c r="MF346" s="25"/>
      <c r="MG346" s="25"/>
      <c r="MH346" s="25"/>
    </row>
    <row r="347" spans="1:346" s="26" customFormat="1">
      <c r="A347" s="21"/>
      <c r="B347" s="22"/>
      <c r="C347" s="4"/>
      <c r="D347" s="7"/>
      <c r="E347" s="7"/>
      <c r="F347" s="4"/>
      <c r="G347" s="4"/>
      <c r="H347" s="4"/>
      <c r="I347" s="77"/>
      <c r="J347" s="156"/>
      <c r="K347" s="77"/>
      <c r="L347" s="78"/>
      <c r="M347" s="78"/>
      <c r="N347" s="49"/>
      <c r="O347" s="49" t="e">
        <f>IF($E347="posto/hora extra",0,IF(OR(E347="posto/dia",E347="posto/dia líder"),VLOOKUP($C347,'Indicadores Financeiros'!$A$107:$J$119,8,FALSE)+VLOOKUP($C347,'Indicadores Financeiros'!$A$107:$J$119,9,FALSE)+VLOOKUP($C347,'Indicadores Financeiros'!$A$107:$J$119,10,FALSE),IF('Indicadores Financeiros'!$J$91=0,0,(VLOOKUP($C347,'Indicadores Financeiros'!$A$107:$J$119,9,FALSE)+VLOOKUP('Relatório Custo'!$C347,'Indicadores Financeiros'!$A$107:$J$119,10,FALSE)+('Indicadores Financeiros'!$J$87*'Relatório Custo'!$H347)))))</f>
        <v>#N/A</v>
      </c>
      <c r="P347" s="49"/>
      <c r="Q347" s="81"/>
      <c r="R347" s="81"/>
      <c r="S347" s="82"/>
      <c r="T347" s="47"/>
      <c r="U347" s="83"/>
      <c r="V347" s="24"/>
      <c r="W347" s="91"/>
      <c r="X347" s="20"/>
      <c r="Y347" s="114"/>
      <c r="Z347" s="43"/>
      <c r="AA347" s="41"/>
      <c r="AB347" s="25"/>
      <c r="AC347" s="23"/>
      <c r="AD347" s="23"/>
      <c r="AE347" s="154"/>
      <c r="AF347" s="155"/>
      <c r="AG347" s="155"/>
      <c r="AH347" s="31"/>
      <c r="AI347" s="31"/>
      <c r="AJ347" s="31"/>
      <c r="AK347" s="31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  <c r="IV347" s="25"/>
      <c r="IW347" s="25"/>
      <c r="IX347" s="25"/>
      <c r="IY347" s="25"/>
      <c r="IZ347" s="25"/>
      <c r="JA347" s="25"/>
      <c r="JB347" s="25"/>
      <c r="JC347" s="25"/>
      <c r="JD347" s="25"/>
      <c r="JE347" s="25"/>
      <c r="JF347" s="25"/>
      <c r="JG347" s="25"/>
      <c r="JH347" s="25"/>
      <c r="JI347" s="25"/>
      <c r="JJ347" s="25"/>
      <c r="JK347" s="25"/>
      <c r="JL347" s="25"/>
      <c r="JM347" s="25"/>
      <c r="JN347" s="25"/>
      <c r="JO347" s="25"/>
      <c r="JP347" s="25"/>
      <c r="JQ347" s="25"/>
      <c r="JR347" s="25"/>
      <c r="JS347" s="25"/>
      <c r="JT347" s="25"/>
      <c r="JU347" s="25"/>
      <c r="JV347" s="25"/>
      <c r="JW347" s="25"/>
      <c r="JX347" s="25"/>
      <c r="JY347" s="25"/>
      <c r="JZ347" s="25"/>
      <c r="KA347" s="25"/>
      <c r="KB347" s="25"/>
      <c r="KC347" s="25"/>
      <c r="KD347" s="25"/>
      <c r="KE347" s="25"/>
      <c r="KF347" s="25"/>
      <c r="KG347" s="25"/>
      <c r="KH347" s="25"/>
      <c r="KI347" s="25"/>
      <c r="KJ347" s="25"/>
      <c r="KK347" s="25"/>
      <c r="KL347" s="25"/>
      <c r="KM347" s="25"/>
      <c r="KN347" s="25"/>
      <c r="KO347" s="25"/>
      <c r="KP347" s="25"/>
      <c r="KQ347" s="25"/>
      <c r="KR347" s="25"/>
      <c r="KS347" s="25"/>
      <c r="KT347" s="25"/>
      <c r="KU347" s="25"/>
      <c r="KV347" s="25"/>
      <c r="KW347" s="25"/>
      <c r="KX347" s="25"/>
      <c r="KY347" s="25"/>
      <c r="KZ347" s="25"/>
      <c r="LA347" s="25"/>
      <c r="LB347" s="25"/>
      <c r="LC347" s="25"/>
      <c r="LD347" s="25"/>
      <c r="LE347" s="25"/>
      <c r="LF347" s="25"/>
      <c r="LG347" s="25"/>
      <c r="LH347" s="25"/>
      <c r="LI347" s="25"/>
      <c r="LJ347" s="25"/>
      <c r="LK347" s="25"/>
      <c r="LL347" s="25"/>
      <c r="LM347" s="25"/>
      <c r="LN347" s="25"/>
      <c r="LO347" s="25"/>
      <c r="LP347" s="25"/>
      <c r="LQ347" s="25"/>
      <c r="LR347" s="25"/>
      <c r="LS347" s="25"/>
      <c r="LT347" s="25"/>
      <c r="LU347" s="25"/>
      <c r="LV347" s="25"/>
      <c r="LW347" s="25"/>
      <c r="LX347" s="25"/>
      <c r="LY347" s="25"/>
      <c r="LZ347" s="25"/>
      <c r="MA347" s="25"/>
      <c r="MB347" s="25"/>
      <c r="MC347" s="25"/>
      <c r="MD347" s="25"/>
      <c r="ME347" s="25"/>
      <c r="MF347" s="25"/>
      <c r="MG347" s="25"/>
      <c r="MH347" s="25"/>
    </row>
    <row r="348" spans="1:346" s="26" customFormat="1">
      <c r="A348" s="21"/>
      <c r="B348" s="22"/>
      <c r="C348" s="4"/>
      <c r="D348" s="7"/>
      <c r="E348" s="7"/>
      <c r="F348" s="4"/>
      <c r="G348" s="4"/>
      <c r="H348" s="4"/>
      <c r="I348" s="77"/>
      <c r="J348" s="156"/>
      <c r="K348" s="77"/>
      <c r="L348" s="78"/>
      <c r="M348" s="78"/>
      <c r="N348" s="49"/>
      <c r="O348" s="49" t="e">
        <f>IF($E348="posto/hora extra",0,IF(OR(E348="posto/dia",E348="posto/dia líder"),VLOOKUP($C348,'Indicadores Financeiros'!$A$107:$J$119,8,FALSE)+VLOOKUP($C348,'Indicadores Financeiros'!$A$107:$J$119,9,FALSE)+VLOOKUP($C348,'Indicadores Financeiros'!$A$107:$J$119,10,FALSE),IF('Indicadores Financeiros'!$J$91=0,0,(VLOOKUP($C348,'Indicadores Financeiros'!$A$107:$J$119,9,FALSE)+VLOOKUP('Relatório Custo'!$C348,'Indicadores Financeiros'!$A$107:$J$119,10,FALSE)+('Indicadores Financeiros'!$J$87*'Relatório Custo'!$H348)))))</f>
        <v>#N/A</v>
      </c>
      <c r="P348" s="49"/>
      <c r="Q348" s="81"/>
      <c r="R348" s="81"/>
      <c r="S348" s="82"/>
      <c r="T348" s="47"/>
      <c r="U348" s="83"/>
      <c r="V348" s="24"/>
      <c r="W348" s="91"/>
      <c r="X348" s="20"/>
      <c r="Y348" s="114"/>
      <c r="Z348" s="43"/>
      <c r="AA348" s="41"/>
      <c r="AB348" s="25"/>
      <c r="AC348" s="23"/>
      <c r="AD348" s="23"/>
      <c r="AE348" s="154"/>
      <c r="AF348" s="155"/>
      <c r="AG348" s="155"/>
      <c r="AH348" s="31"/>
      <c r="AI348" s="31"/>
      <c r="AJ348" s="31"/>
      <c r="AK348" s="31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  <c r="IV348" s="25"/>
      <c r="IW348" s="25"/>
      <c r="IX348" s="25"/>
      <c r="IY348" s="25"/>
      <c r="IZ348" s="25"/>
      <c r="JA348" s="25"/>
      <c r="JB348" s="25"/>
      <c r="JC348" s="25"/>
      <c r="JD348" s="25"/>
      <c r="JE348" s="25"/>
      <c r="JF348" s="25"/>
      <c r="JG348" s="25"/>
      <c r="JH348" s="25"/>
      <c r="JI348" s="25"/>
      <c r="JJ348" s="25"/>
      <c r="JK348" s="25"/>
      <c r="JL348" s="25"/>
      <c r="JM348" s="25"/>
      <c r="JN348" s="25"/>
      <c r="JO348" s="25"/>
      <c r="JP348" s="25"/>
      <c r="JQ348" s="25"/>
      <c r="JR348" s="25"/>
      <c r="JS348" s="25"/>
      <c r="JT348" s="25"/>
      <c r="JU348" s="25"/>
      <c r="JV348" s="25"/>
      <c r="JW348" s="25"/>
      <c r="JX348" s="25"/>
      <c r="JY348" s="25"/>
      <c r="JZ348" s="25"/>
      <c r="KA348" s="25"/>
      <c r="KB348" s="25"/>
      <c r="KC348" s="25"/>
      <c r="KD348" s="25"/>
      <c r="KE348" s="25"/>
      <c r="KF348" s="25"/>
      <c r="KG348" s="25"/>
      <c r="KH348" s="25"/>
      <c r="KI348" s="25"/>
      <c r="KJ348" s="25"/>
      <c r="KK348" s="25"/>
      <c r="KL348" s="25"/>
      <c r="KM348" s="25"/>
      <c r="KN348" s="25"/>
      <c r="KO348" s="25"/>
      <c r="KP348" s="25"/>
      <c r="KQ348" s="25"/>
      <c r="KR348" s="25"/>
      <c r="KS348" s="25"/>
      <c r="KT348" s="25"/>
      <c r="KU348" s="25"/>
      <c r="KV348" s="25"/>
      <c r="KW348" s="25"/>
      <c r="KX348" s="25"/>
      <c r="KY348" s="25"/>
      <c r="KZ348" s="25"/>
      <c r="LA348" s="25"/>
      <c r="LB348" s="25"/>
      <c r="LC348" s="25"/>
      <c r="LD348" s="25"/>
      <c r="LE348" s="25"/>
      <c r="LF348" s="25"/>
      <c r="LG348" s="25"/>
      <c r="LH348" s="25"/>
      <c r="LI348" s="25"/>
      <c r="LJ348" s="25"/>
      <c r="LK348" s="25"/>
      <c r="LL348" s="25"/>
      <c r="LM348" s="25"/>
      <c r="LN348" s="25"/>
      <c r="LO348" s="25"/>
      <c r="LP348" s="25"/>
      <c r="LQ348" s="25"/>
      <c r="LR348" s="25"/>
      <c r="LS348" s="25"/>
      <c r="LT348" s="25"/>
      <c r="LU348" s="25"/>
      <c r="LV348" s="25"/>
      <c r="LW348" s="25"/>
      <c r="LX348" s="25"/>
      <c r="LY348" s="25"/>
      <c r="LZ348" s="25"/>
      <c r="MA348" s="25"/>
      <c r="MB348" s="25"/>
      <c r="MC348" s="25"/>
      <c r="MD348" s="25"/>
      <c r="ME348" s="25"/>
      <c r="MF348" s="25"/>
      <c r="MG348" s="25"/>
      <c r="MH348" s="25"/>
    </row>
    <row r="349" spans="1:346" s="26" customFormat="1">
      <c r="A349" s="21"/>
      <c r="B349" s="22"/>
      <c r="C349" s="4"/>
      <c r="D349" s="7"/>
      <c r="E349" s="7"/>
      <c r="F349" s="4"/>
      <c r="G349" s="4"/>
      <c r="H349" s="4"/>
      <c r="I349" s="77"/>
      <c r="J349" s="156"/>
      <c r="K349" s="77"/>
      <c r="L349" s="78"/>
      <c r="M349" s="78"/>
      <c r="N349" s="49"/>
      <c r="O349" s="49" t="e">
        <f>IF($E349="posto/hora extra",0,IF(OR(E349="posto/dia",E349="posto/dia líder"),VLOOKUP($C349,'Indicadores Financeiros'!$A$107:$J$119,8,FALSE)+VLOOKUP($C349,'Indicadores Financeiros'!$A$107:$J$119,9,FALSE)+VLOOKUP($C349,'Indicadores Financeiros'!$A$107:$J$119,10,FALSE),IF('Indicadores Financeiros'!$J$91=0,0,(VLOOKUP($C349,'Indicadores Financeiros'!$A$107:$J$119,9,FALSE)+VLOOKUP('Relatório Custo'!$C349,'Indicadores Financeiros'!$A$107:$J$119,10,FALSE)+('Indicadores Financeiros'!$J$87*'Relatório Custo'!$H349)))))</f>
        <v>#N/A</v>
      </c>
      <c r="P349" s="49"/>
      <c r="Q349" s="81"/>
      <c r="R349" s="81"/>
      <c r="S349" s="82"/>
      <c r="T349" s="47"/>
      <c r="U349" s="83"/>
      <c r="V349" s="24"/>
      <c r="W349" s="91"/>
      <c r="X349" s="20"/>
      <c r="Y349" s="114"/>
      <c r="Z349" s="43"/>
      <c r="AA349" s="41"/>
      <c r="AB349" s="25"/>
      <c r="AC349" s="23"/>
      <c r="AD349" s="23"/>
      <c r="AE349" s="154"/>
      <c r="AF349" s="155"/>
      <c r="AG349" s="155"/>
      <c r="AH349" s="31"/>
      <c r="AI349" s="31"/>
      <c r="AJ349" s="31"/>
      <c r="AK349" s="31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  <c r="IV349" s="25"/>
      <c r="IW349" s="25"/>
      <c r="IX349" s="25"/>
      <c r="IY349" s="25"/>
      <c r="IZ349" s="25"/>
      <c r="JA349" s="25"/>
      <c r="JB349" s="25"/>
      <c r="JC349" s="25"/>
      <c r="JD349" s="25"/>
      <c r="JE349" s="25"/>
      <c r="JF349" s="25"/>
      <c r="JG349" s="25"/>
      <c r="JH349" s="25"/>
      <c r="JI349" s="25"/>
      <c r="JJ349" s="25"/>
      <c r="JK349" s="25"/>
      <c r="JL349" s="25"/>
      <c r="JM349" s="25"/>
      <c r="JN349" s="25"/>
      <c r="JO349" s="25"/>
      <c r="JP349" s="25"/>
      <c r="JQ349" s="25"/>
      <c r="JR349" s="25"/>
      <c r="JS349" s="25"/>
      <c r="JT349" s="25"/>
      <c r="JU349" s="25"/>
      <c r="JV349" s="25"/>
      <c r="JW349" s="25"/>
      <c r="JX349" s="25"/>
      <c r="JY349" s="25"/>
      <c r="JZ349" s="25"/>
      <c r="KA349" s="25"/>
      <c r="KB349" s="25"/>
      <c r="KC349" s="25"/>
      <c r="KD349" s="25"/>
      <c r="KE349" s="25"/>
      <c r="KF349" s="25"/>
      <c r="KG349" s="25"/>
      <c r="KH349" s="25"/>
      <c r="KI349" s="25"/>
      <c r="KJ349" s="25"/>
      <c r="KK349" s="25"/>
      <c r="KL349" s="25"/>
      <c r="KM349" s="25"/>
      <c r="KN349" s="25"/>
      <c r="KO349" s="25"/>
      <c r="KP349" s="25"/>
      <c r="KQ349" s="25"/>
      <c r="KR349" s="25"/>
      <c r="KS349" s="25"/>
      <c r="KT349" s="25"/>
      <c r="KU349" s="25"/>
      <c r="KV349" s="25"/>
      <c r="KW349" s="25"/>
      <c r="KX349" s="25"/>
      <c r="KY349" s="25"/>
      <c r="KZ349" s="25"/>
      <c r="LA349" s="25"/>
      <c r="LB349" s="25"/>
      <c r="LC349" s="25"/>
      <c r="LD349" s="25"/>
      <c r="LE349" s="25"/>
      <c r="LF349" s="25"/>
      <c r="LG349" s="25"/>
      <c r="LH349" s="25"/>
      <c r="LI349" s="25"/>
      <c r="LJ349" s="25"/>
      <c r="LK349" s="25"/>
      <c r="LL349" s="25"/>
      <c r="LM349" s="25"/>
      <c r="LN349" s="25"/>
      <c r="LO349" s="25"/>
      <c r="LP349" s="25"/>
      <c r="LQ349" s="25"/>
      <c r="LR349" s="25"/>
      <c r="LS349" s="25"/>
      <c r="LT349" s="25"/>
      <c r="LU349" s="25"/>
      <c r="LV349" s="25"/>
      <c r="LW349" s="25"/>
      <c r="LX349" s="25"/>
      <c r="LY349" s="25"/>
      <c r="LZ349" s="25"/>
      <c r="MA349" s="25"/>
      <c r="MB349" s="25"/>
      <c r="MC349" s="25"/>
      <c r="MD349" s="25"/>
      <c r="ME349" s="25"/>
      <c r="MF349" s="25"/>
      <c r="MG349" s="25"/>
      <c r="MH349" s="25"/>
    </row>
    <row r="350" spans="1:346" s="26" customFormat="1">
      <c r="A350" s="21"/>
      <c r="B350" s="22"/>
      <c r="C350" s="4"/>
      <c r="D350" s="7"/>
      <c r="E350" s="7"/>
      <c r="F350" s="4"/>
      <c r="G350" s="4"/>
      <c r="H350" s="4"/>
      <c r="I350" s="77"/>
      <c r="J350" s="156"/>
      <c r="K350" s="77"/>
      <c r="L350" s="78"/>
      <c r="M350" s="78"/>
      <c r="N350" s="49"/>
      <c r="O350" s="49" t="e">
        <f>IF($E350="posto/hora extra",0,IF(OR(E350="posto/dia",E350="posto/dia líder"),VLOOKUP($C350,'Indicadores Financeiros'!$A$107:$J$119,8,FALSE)+VLOOKUP($C350,'Indicadores Financeiros'!$A$107:$J$119,9,FALSE)+VLOOKUP($C350,'Indicadores Financeiros'!$A$107:$J$119,10,FALSE),IF('Indicadores Financeiros'!$J$91=0,0,(VLOOKUP($C350,'Indicadores Financeiros'!$A$107:$J$119,9,FALSE)+VLOOKUP('Relatório Custo'!$C350,'Indicadores Financeiros'!$A$107:$J$119,10,FALSE)+('Indicadores Financeiros'!$J$87*'Relatório Custo'!$H350)))))</f>
        <v>#N/A</v>
      </c>
      <c r="P350" s="49"/>
      <c r="Q350" s="81"/>
      <c r="R350" s="81"/>
      <c r="S350" s="82"/>
      <c r="T350" s="47"/>
      <c r="U350" s="83"/>
      <c r="V350" s="24"/>
      <c r="W350" s="91"/>
      <c r="X350" s="20"/>
      <c r="Y350" s="114"/>
      <c r="Z350" s="43"/>
      <c r="AA350" s="41"/>
      <c r="AB350" s="25"/>
      <c r="AC350" s="23"/>
      <c r="AD350" s="23"/>
      <c r="AE350" s="154"/>
      <c r="AF350" s="155"/>
      <c r="AG350" s="155"/>
      <c r="AH350" s="31"/>
      <c r="AI350" s="31"/>
      <c r="AJ350" s="31"/>
      <c r="AK350" s="31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  <c r="IV350" s="25"/>
      <c r="IW350" s="25"/>
      <c r="IX350" s="25"/>
      <c r="IY350" s="25"/>
      <c r="IZ350" s="25"/>
      <c r="JA350" s="25"/>
      <c r="JB350" s="25"/>
      <c r="JC350" s="25"/>
      <c r="JD350" s="25"/>
      <c r="JE350" s="25"/>
      <c r="JF350" s="25"/>
      <c r="JG350" s="25"/>
      <c r="JH350" s="25"/>
      <c r="JI350" s="25"/>
      <c r="JJ350" s="25"/>
      <c r="JK350" s="25"/>
      <c r="JL350" s="25"/>
      <c r="JM350" s="25"/>
      <c r="JN350" s="25"/>
      <c r="JO350" s="25"/>
      <c r="JP350" s="25"/>
      <c r="JQ350" s="25"/>
      <c r="JR350" s="25"/>
      <c r="JS350" s="25"/>
      <c r="JT350" s="25"/>
      <c r="JU350" s="25"/>
      <c r="JV350" s="25"/>
      <c r="JW350" s="25"/>
      <c r="JX350" s="25"/>
      <c r="JY350" s="25"/>
      <c r="JZ350" s="25"/>
      <c r="KA350" s="25"/>
      <c r="KB350" s="25"/>
      <c r="KC350" s="25"/>
      <c r="KD350" s="25"/>
      <c r="KE350" s="25"/>
      <c r="KF350" s="25"/>
      <c r="KG350" s="25"/>
      <c r="KH350" s="25"/>
      <c r="KI350" s="25"/>
      <c r="KJ350" s="25"/>
      <c r="KK350" s="25"/>
      <c r="KL350" s="25"/>
      <c r="KM350" s="25"/>
      <c r="KN350" s="25"/>
      <c r="KO350" s="25"/>
      <c r="KP350" s="25"/>
      <c r="KQ350" s="25"/>
      <c r="KR350" s="25"/>
      <c r="KS350" s="25"/>
      <c r="KT350" s="25"/>
      <c r="KU350" s="25"/>
      <c r="KV350" s="25"/>
      <c r="KW350" s="25"/>
      <c r="KX350" s="25"/>
      <c r="KY350" s="25"/>
      <c r="KZ350" s="25"/>
      <c r="LA350" s="25"/>
      <c r="LB350" s="25"/>
      <c r="LC350" s="25"/>
      <c r="LD350" s="25"/>
      <c r="LE350" s="25"/>
      <c r="LF350" s="25"/>
      <c r="LG350" s="25"/>
      <c r="LH350" s="25"/>
      <c r="LI350" s="25"/>
      <c r="LJ350" s="25"/>
      <c r="LK350" s="25"/>
      <c r="LL350" s="25"/>
      <c r="LM350" s="25"/>
      <c r="LN350" s="25"/>
      <c r="LO350" s="25"/>
      <c r="LP350" s="25"/>
      <c r="LQ350" s="25"/>
      <c r="LR350" s="25"/>
      <c r="LS350" s="25"/>
      <c r="LT350" s="25"/>
      <c r="LU350" s="25"/>
      <c r="LV350" s="25"/>
      <c r="LW350" s="25"/>
      <c r="LX350" s="25"/>
      <c r="LY350" s="25"/>
      <c r="LZ350" s="25"/>
      <c r="MA350" s="25"/>
      <c r="MB350" s="25"/>
      <c r="MC350" s="25"/>
      <c r="MD350" s="25"/>
      <c r="ME350" s="25"/>
      <c r="MF350" s="25"/>
      <c r="MG350" s="25"/>
      <c r="MH350" s="25"/>
    </row>
    <row r="351" spans="1:346" s="204" customFormat="1" ht="12.75">
      <c r="A351" s="372" t="s">
        <v>229</v>
      </c>
      <c r="B351" s="373"/>
      <c r="C351" s="373"/>
      <c r="D351" s="373"/>
      <c r="E351" s="373"/>
      <c r="F351" s="373"/>
      <c r="G351" s="373"/>
      <c r="H351" s="373"/>
      <c r="I351" s="373"/>
      <c r="J351" s="373"/>
      <c r="K351" s="373"/>
      <c r="L351" s="373"/>
      <c r="M351" s="373"/>
      <c r="N351" s="373"/>
      <c r="O351" s="373"/>
      <c r="P351" s="373"/>
      <c r="Q351" s="373"/>
      <c r="R351" s="373"/>
      <c r="S351" s="373"/>
      <c r="T351" s="373"/>
      <c r="U351" s="374"/>
      <c r="V351" s="202">
        <f>ROUND(SUBTOTAL(9,V3:V350),2)</f>
        <v>256496.29</v>
      </c>
      <c r="W351" s="202">
        <f>ROUND(SUBTOTAL(9,W3:W350),2)</f>
        <v>7694888.7000000002</v>
      </c>
      <c r="X351" s="203"/>
      <c r="AA351" s="202">
        <f>ROUND(SUBTOTAL(9,AA3:AA350),2)</f>
        <v>21145.56</v>
      </c>
    </row>
    <row r="352" spans="1:346" s="25" customFormat="1">
      <c r="K352" s="27"/>
      <c r="L352" s="84"/>
      <c r="M352" s="84"/>
      <c r="N352" s="27"/>
      <c r="O352" s="84"/>
      <c r="P352" s="27"/>
      <c r="Q352" s="27"/>
      <c r="R352" s="27"/>
      <c r="S352" s="27"/>
      <c r="T352" s="39"/>
      <c r="U352" s="31"/>
    </row>
    <row r="353" spans="12:23" s="25" customFormat="1">
      <c r="L353" s="31"/>
      <c r="M353" s="31"/>
      <c r="N353" s="31"/>
      <c r="O353" s="84"/>
      <c r="P353" s="31"/>
      <c r="Q353" s="31"/>
      <c r="R353" s="31"/>
      <c r="S353" s="31"/>
      <c r="T353" s="39"/>
      <c r="U353" s="31"/>
      <c r="V353" s="45"/>
      <c r="W353" s="31"/>
    </row>
    <row r="354" spans="12:23" s="25" customFormat="1">
      <c r="L354" s="31"/>
      <c r="M354" s="31"/>
      <c r="O354" s="84"/>
      <c r="Q354" s="84"/>
      <c r="R354" s="31"/>
      <c r="T354" s="39"/>
      <c r="V354" s="46"/>
    </row>
    <row r="355" spans="12:23" s="25" customFormat="1">
      <c r="L355" s="103"/>
      <c r="M355" s="103"/>
      <c r="O355" s="84"/>
      <c r="T355" s="39"/>
      <c r="V355" s="33"/>
    </row>
    <row r="356" spans="12:23" s="25" customFormat="1">
      <c r="O356" s="84"/>
      <c r="T356" s="39"/>
      <c r="V356" s="33"/>
    </row>
    <row r="357" spans="12:23" s="25" customFormat="1">
      <c r="O357" s="84"/>
      <c r="T357" s="39"/>
      <c r="V357" s="33"/>
    </row>
    <row r="358" spans="12:23" s="25" customFormat="1">
      <c r="O358" s="84"/>
      <c r="T358" s="39"/>
      <c r="V358" s="33"/>
    </row>
    <row r="359" spans="12:23" s="25" customFormat="1">
      <c r="O359" s="84"/>
      <c r="T359" s="39"/>
      <c r="V359" s="33"/>
    </row>
    <row r="360" spans="12:23" s="25" customFormat="1">
      <c r="O360" s="84"/>
      <c r="T360" s="39"/>
      <c r="V360" s="33"/>
    </row>
    <row r="361" spans="12:23" s="25" customFormat="1">
      <c r="O361" s="84"/>
      <c r="T361" s="39"/>
      <c r="V361" s="33"/>
    </row>
    <row r="362" spans="12:23" s="25" customFormat="1">
      <c r="O362" s="84"/>
      <c r="T362" s="39"/>
      <c r="V362" s="33"/>
    </row>
    <row r="363" spans="12:23" s="25" customFormat="1">
      <c r="O363" s="84"/>
      <c r="T363" s="39"/>
      <c r="V363" s="33"/>
    </row>
    <row r="364" spans="12:23" s="25" customFormat="1">
      <c r="O364" s="84"/>
      <c r="T364" s="39"/>
      <c r="V364" s="33"/>
    </row>
    <row r="365" spans="12:23" s="25" customFormat="1">
      <c r="O365" s="84"/>
      <c r="T365" s="39"/>
      <c r="V365" s="33"/>
    </row>
    <row r="366" spans="12:23" s="25" customFormat="1">
      <c r="O366" s="84"/>
      <c r="T366" s="39"/>
      <c r="V366" s="33"/>
    </row>
    <row r="367" spans="12:23" s="25" customFormat="1">
      <c r="O367" s="84"/>
      <c r="T367" s="39"/>
      <c r="V367" s="33"/>
    </row>
    <row r="368" spans="12:23" s="25" customFormat="1">
      <c r="O368" s="84"/>
      <c r="T368" s="39"/>
      <c r="V368" s="33"/>
    </row>
    <row r="369" spans="15:22" s="25" customFormat="1">
      <c r="O369" s="84"/>
      <c r="T369" s="39"/>
      <c r="V369" s="33"/>
    </row>
    <row r="370" spans="15:22" s="25" customFormat="1">
      <c r="O370" s="84"/>
      <c r="T370" s="39"/>
      <c r="V370" s="33"/>
    </row>
    <row r="371" spans="15:22" s="25" customFormat="1">
      <c r="O371" s="84"/>
      <c r="T371" s="39"/>
      <c r="V371" s="33"/>
    </row>
    <row r="372" spans="15:22" s="25" customFormat="1">
      <c r="O372" s="84"/>
      <c r="T372" s="39"/>
      <c r="V372" s="33"/>
    </row>
    <row r="373" spans="15:22" s="25" customFormat="1">
      <c r="O373" s="84"/>
      <c r="T373" s="39"/>
      <c r="V373" s="33"/>
    </row>
    <row r="374" spans="15:22" s="25" customFormat="1">
      <c r="O374" s="84"/>
      <c r="T374" s="39"/>
      <c r="V374" s="33"/>
    </row>
    <row r="375" spans="15:22" s="25" customFormat="1">
      <c r="O375" s="84"/>
      <c r="T375" s="39"/>
      <c r="V375" s="33"/>
    </row>
    <row r="376" spans="15:22" s="25" customFormat="1">
      <c r="O376" s="84"/>
      <c r="T376" s="39"/>
      <c r="V376" s="33"/>
    </row>
    <row r="377" spans="15:22" s="25" customFormat="1">
      <c r="O377" s="84"/>
      <c r="T377" s="39"/>
      <c r="V377" s="33"/>
    </row>
    <row r="378" spans="15:22" s="25" customFormat="1">
      <c r="O378" s="84"/>
      <c r="T378" s="39"/>
      <c r="V378" s="33"/>
    </row>
    <row r="379" spans="15:22" s="25" customFormat="1">
      <c r="O379" s="84"/>
      <c r="T379" s="39"/>
      <c r="V379" s="33"/>
    </row>
    <row r="380" spans="15:22" s="25" customFormat="1">
      <c r="O380" s="84"/>
      <c r="T380" s="39"/>
      <c r="V380" s="33"/>
    </row>
    <row r="381" spans="15:22" s="25" customFormat="1">
      <c r="O381" s="84"/>
      <c r="T381" s="39"/>
      <c r="V381" s="33"/>
    </row>
    <row r="382" spans="15:22" s="25" customFormat="1">
      <c r="O382" s="84"/>
      <c r="T382" s="39"/>
      <c r="V382" s="33"/>
    </row>
    <row r="383" spans="15:22" s="25" customFormat="1">
      <c r="O383" s="84"/>
      <c r="T383" s="39"/>
      <c r="V383" s="33"/>
    </row>
    <row r="384" spans="15:22" s="25" customFormat="1">
      <c r="O384" s="84"/>
      <c r="T384" s="39"/>
      <c r="V384" s="33"/>
    </row>
    <row r="385" spans="5:21" s="25" customFormat="1">
      <c r="E385" s="48"/>
      <c r="F385" s="369"/>
      <c r="G385" s="370"/>
      <c r="H385" s="370"/>
      <c r="I385" s="371"/>
      <c r="J385" s="148"/>
      <c r="K385" s="369"/>
      <c r="L385" s="371"/>
      <c r="M385" s="148"/>
      <c r="N385" s="148"/>
      <c r="O385" s="195"/>
      <c r="P385" s="148"/>
      <c r="Q385" s="148"/>
      <c r="R385" s="148"/>
      <c r="S385" s="148"/>
      <c r="T385" s="369"/>
      <c r="U385" s="371"/>
    </row>
    <row r="386" spans="5:21" s="25" customFormat="1">
      <c r="K386" s="27"/>
      <c r="L386" s="27"/>
      <c r="M386" s="27"/>
      <c r="N386" s="27"/>
      <c r="O386" s="84"/>
      <c r="P386" s="27"/>
      <c r="Q386" s="27"/>
      <c r="R386" s="27"/>
      <c r="S386" s="27"/>
      <c r="T386" s="39"/>
    </row>
    <row r="387" spans="5:21" s="25" customFormat="1">
      <c r="K387" s="27"/>
      <c r="L387" s="27"/>
      <c r="M387" s="27"/>
      <c r="N387" s="27"/>
      <c r="O387" s="84"/>
      <c r="P387" s="27"/>
      <c r="Q387" s="27"/>
      <c r="R387" s="27"/>
      <c r="S387" s="27"/>
      <c r="T387" s="39"/>
    </row>
    <row r="388" spans="5:21" s="25" customFormat="1">
      <c r="K388" s="27"/>
      <c r="L388" s="27"/>
      <c r="M388" s="27"/>
      <c r="N388" s="27"/>
      <c r="O388" s="84"/>
      <c r="P388" s="27"/>
      <c r="Q388" s="27"/>
      <c r="R388" s="27"/>
      <c r="S388" s="27"/>
      <c r="T388" s="39"/>
    </row>
    <row r="389" spans="5:21" s="25" customFormat="1">
      <c r="K389" s="27"/>
      <c r="L389" s="27"/>
      <c r="M389" s="27"/>
      <c r="N389" s="27"/>
      <c r="O389" s="84"/>
      <c r="P389" s="27"/>
      <c r="Q389" s="27"/>
      <c r="R389" s="27"/>
      <c r="S389" s="27"/>
      <c r="T389" s="39"/>
    </row>
    <row r="390" spans="5:21" s="25" customFormat="1">
      <c r="K390" s="27"/>
      <c r="L390" s="27"/>
      <c r="M390" s="27"/>
      <c r="N390" s="27"/>
      <c r="O390" s="84"/>
      <c r="P390" s="27"/>
      <c r="Q390" s="27"/>
      <c r="R390" s="27"/>
      <c r="S390" s="27"/>
      <c r="T390" s="39"/>
    </row>
    <row r="391" spans="5:21" s="25" customFormat="1">
      <c r="K391" s="27"/>
      <c r="L391" s="27"/>
      <c r="M391" s="27"/>
      <c r="N391" s="27"/>
      <c r="O391" s="84"/>
      <c r="P391" s="27"/>
      <c r="Q391" s="27"/>
      <c r="R391" s="27"/>
      <c r="S391" s="27"/>
      <c r="T391" s="39"/>
    </row>
    <row r="392" spans="5:21" s="25" customFormat="1">
      <c r="K392" s="27"/>
      <c r="L392" s="27"/>
      <c r="M392" s="27"/>
      <c r="N392" s="27"/>
      <c r="O392" s="84"/>
      <c r="P392" s="27"/>
      <c r="Q392" s="27"/>
      <c r="R392" s="27"/>
      <c r="S392" s="27"/>
      <c r="T392" s="39"/>
    </row>
    <row r="393" spans="5:21" s="25" customFormat="1">
      <c r="K393" s="27"/>
      <c r="L393" s="27"/>
      <c r="M393" s="27"/>
      <c r="N393" s="27"/>
      <c r="O393" s="84"/>
      <c r="P393" s="27"/>
      <c r="Q393" s="27"/>
      <c r="R393" s="27"/>
      <c r="S393" s="27"/>
      <c r="T393" s="39"/>
    </row>
    <row r="394" spans="5:21" s="25" customFormat="1">
      <c r="K394" s="27"/>
      <c r="L394" s="27"/>
      <c r="M394" s="27"/>
      <c r="N394" s="27"/>
      <c r="O394" s="84"/>
      <c r="P394" s="27"/>
      <c r="Q394" s="27"/>
      <c r="R394" s="27"/>
      <c r="S394" s="27"/>
      <c r="T394" s="39"/>
    </row>
    <row r="395" spans="5:21" s="25" customFormat="1">
      <c r="K395" s="27"/>
      <c r="L395" s="27"/>
      <c r="M395" s="27"/>
      <c r="N395" s="27"/>
      <c r="O395" s="84"/>
      <c r="P395" s="27"/>
      <c r="Q395" s="27"/>
      <c r="R395" s="27"/>
      <c r="S395" s="27"/>
      <c r="T395" s="39"/>
    </row>
    <row r="396" spans="5:21" s="25" customFormat="1">
      <c r="K396" s="27"/>
      <c r="L396" s="27"/>
      <c r="M396" s="27"/>
      <c r="N396" s="27"/>
      <c r="O396" s="84"/>
      <c r="P396" s="27"/>
      <c r="Q396" s="27"/>
      <c r="R396" s="27"/>
      <c r="S396" s="27"/>
      <c r="T396" s="39"/>
    </row>
    <row r="397" spans="5:21" s="25" customFormat="1">
      <c r="K397" s="27"/>
      <c r="L397" s="27"/>
      <c r="M397" s="27"/>
      <c r="N397" s="27"/>
      <c r="O397" s="84"/>
      <c r="P397" s="27"/>
      <c r="Q397" s="27"/>
      <c r="R397" s="27"/>
      <c r="S397" s="27"/>
      <c r="T397" s="39"/>
    </row>
    <row r="398" spans="5:21" s="25" customFormat="1">
      <c r="K398" s="27"/>
      <c r="L398" s="27"/>
      <c r="M398" s="27"/>
      <c r="N398" s="27"/>
      <c r="O398" s="84"/>
      <c r="P398" s="27"/>
      <c r="Q398" s="27"/>
      <c r="R398" s="27"/>
      <c r="S398" s="27"/>
      <c r="T398" s="39"/>
    </row>
    <row r="399" spans="5:21" s="25" customFormat="1">
      <c r="K399" s="27"/>
      <c r="L399" s="27"/>
      <c r="M399" s="27"/>
      <c r="N399" s="27"/>
      <c r="O399" s="84"/>
      <c r="P399" s="27"/>
      <c r="Q399" s="27"/>
      <c r="R399" s="27"/>
      <c r="S399" s="27"/>
      <c r="T399" s="39"/>
    </row>
    <row r="400" spans="5:21" s="25" customFormat="1">
      <c r="K400" s="27"/>
      <c r="L400" s="27"/>
      <c r="M400" s="27"/>
      <c r="N400" s="27"/>
      <c r="O400" s="84"/>
      <c r="P400" s="27"/>
      <c r="Q400" s="27"/>
      <c r="R400" s="27"/>
      <c r="S400" s="27"/>
      <c r="T400" s="39"/>
    </row>
    <row r="401" spans="11:20" s="25" customFormat="1">
      <c r="K401" s="27"/>
      <c r="L401" s="27"/>
      <c r="M401" s="27"/>
      <c r="N401" s="27"/>
      <c r="O401" s="84"/>
      <c r="P401" s="27"/>
      <c r="Q401" s="27"/>
      <c r="R401" s="27"/>
      <c r="S401" s="27"/>
      <c r="T401" s="39"/>
    </row>
    <row r="402" spans="11:20" s="25" customFormat="1">
      <c r="K402" s="27"/>
      <c r="L402" s="27"/>
      <c r="M402" s="27"/>
      <c r="N402" s="27"/>
      <c r="O402" s="84"/>
      <c r="P402" s="27"/>
      <c r="Q402" s="27"/>
      <c r="R402" s="27"/>
      <c r="S402" s="27"/>
      <c r="T402" s="39"/>
    </row>
    <row r="403" spans="11:20" s="25" customFormat="1">
      <c r="K403" s="27"/>
      <c r="L403" s="27"/>
      <c r="M403" s="27"/>
      <c r="N403" s="27"/>
      <c r="O403" s="84"/>
      <c r="P403" s="27"/>
      <c r="Q403" s="27"/>
      <c r="R403" s="27"/>
      <c r="S403" s="27"/>
      <c r="T403" s="39"/>
    </row>
    <row r="404" spans="11:20" s="25" customFormat="1">
      <c r="K404" s="27"/>
      <c r="L404" s="27"/>
      <c r="M404" s="27"/>
      <c r="N404" s="27"/>
      <c r="O404" s="84"/>
      <c r="P404" s="27"/>
      <c r="Q404" s="27"/>
      <c r="R404" s="27"/>
      <c r="S404" s="27"/>
      <c r="T404" s="39"/>
    </row>
    <row r="405" spans="11:20" s="25" customFormat="1">
      <c r="K405" s="27"/>
      <c r="L405" s="27"/>
      <c r="M405" s="27"/>
      <c r="N405" s="27"/>
      <c r="O405" s="84"/>
      <c r="P405" s="27"/>
      <c r="Q405" s="27"/>
      <c r="R405" s="27"/>
      <c r="S405" s="27"/>
      <c r="T405" s="39"/>
    </row>
    <row r="406" spans="11:20" s="25" customFormat="1">
      <c r="K406" s="27"/>
      <c r="L406" s="27"/>
      <c r="M406" s="27"/>
      <c r="N406" s="27"/>
      <c r="O406" s="84"/>
      <c r="P406" s="27"/>
      <c r="Q406" s="27"/>
      <c r="R406" s="27"/>
      <c r="S406" s="27"/>
      <c r="T406" s="39"/>
    </row>
    <row r="407" spans="11:20" s="25" customFormat="1">
      <c r="K407" s="27"/>
      <c r="L407" s="27"/>
      <c r="M407" s="27"/>
      <c r="N407" s="27"/>
      <c r="O407" s="84"/>
      <c r="P407" s="27"/>
      <c r="Q407" s="27"/>
      <c r="R407" s="27"/>
      <c r="S407" s="27"/>
      <c r="T407" s="39"/>
    </row>
    <row r="408" spans="11:20" s="25" customFormat="1">
      <c r="K408" s="27"/>
      <c r="L408" s="27"/>
      <c r="M408" s="27"/>
      <c r="N408" s="27"/>
      <c r="O408" s="84"/>
      <c r="P408" s="27"/>
      <c r="Q408" s="27"/>
      <c r="R408" s="27"/>
      <c r="S408" s="27"/>
      <c r="T408" s="39"/>
    </row>
    <row r="409" spans="11:20" s="25" customFormat="1">
      <c r="K409" s="27"/>
      <c r="L409" s="27"/>
      <c r="M409" s="27"/>
      <c r="N409" s="27"/>
      <c r="O409" s="84"/>
      <c r="P409" s="27"/>
      <c r="Q409" s="27"/>
      <c r="R409" s="27"/>
      <c r="S409" s="27"/>
      <c r="T409" s="39"/>
    </row>
    <row r="410" spans="11:20" s="25" customFormat="1">
      <c r="K410" s="27"/>
      <c r="L410" s="27"/>
      <c r="M410" s="27"/>
      <c r="N410" s="27"/>
      <c r="O410" s="84"/>
      <c r="P410" s="27"/>
      <c r="Q410" s="27"/>
      <c r="R410" s="27"/>
      <c r="S410" s="27"/>
      <c r="T410" s="39"/>
    </row>
    <row r="411" spans="11:20" s="25" customFormat="1">
      <c r="K411" s="27"/>
      <c r="L411" s="27"/>
      <c r="M411" s="27"/>
      <c r="N411" s="27"/>
      <c r="O411" s="84"/>
      <c r="P411" s="27"/>
      <c r="Q411" s="27"/>
      <c r="R411" s="27"/>
      <c r="S411" s="27"/>
      <c r="T411" s="39"/>
    </row>
    <row r="412" spans="11:20" s="25" customFormat="1">
      <c r="K412" s="27"/>
      <c r="L412" s="27"/>
      <c r="M412" s="27"/>
      <c r="N412" s="27"/>
      <c r="O412" s="84"/>
      <c r="P412" s="27"/>
      <c r="Q412" s="27"/>
      <c r="R412" s="27"/>
      <c r="S412" s="27"/>
      <c r="T412" s="39"/>
    </row>
    <row r="413" spans="11:20" s="25" customFormat="1">
      <c r="K413" s="27"/>
      <c r="L413" s="27"/>
      <c r="M413" s="27"/>
      <c r="N413" s="27"/>
      <c r="O413" s="84"/>
      <c r="P413" s="27"/>
      <c r="Q413" s="27"/>
      <c r="R413" s="27"/>
      <c r="S413" s="27"/>
      <c r="T413" s="39"/>
    </row>
    <row r="414" spans="11:20" s="25" customFormat="1">
      <c r="K414" s="27"/>
      <c r="L414" s="27"/>
      <c r="M414" s="27"/>
      <c r="N414" s="27"/>
      <c r="O414" s="84"/>
      <c r="P414" s="27"/>
      <c r="Q414" s="27"/>
      <c r="R414" s="27"/>
      <c r="S414" s="27"/>
      <c r="T414" s="39"/>
    </row>
    <row r="415" spans="11:20" s="25" customFormat="1">
      <c r="K415" s="27"/>
      <c r="L415" s="27"/>
      <c r="M415" s="27"/>
      <c r="N415" s="27"/>
      <c r="O415" s="84"/>
      <c r="P415" s="27"/>
      <c r="Q415" s="27"/>
      <c r="R415" s="27"/>
      <c r="S415" s="27"/>
      <c r="T415" s="39"/>
    </row>
    <row r="416" spans="11:20" s="25" customFormat="1">
      <c r="K416" s="27"/>
      <c r="L416" s="27"/>
      <c r="M416" s="27"/>
      <c r="N416" s="27"/>
      <c r="O416" s="84"/>
      <c r="P416" s="27"/>
      <c r="Q416" s="27"/>
      <c r="R416" s="27"/>
      <c r="S416" s="27"/>
      <c r="T416" s="39"/>
    </row>
    <row r="417" spans="11:20" s="25" customFormat="1">
      <c r="K417" s="27"/>
      <c r="L417" s="27"/>
      <c r="M417" s="27"/>
      <c r="N417" s="27"/>
      <c r="O417" s="84"/>
      <c r="P417" s="27"/>
      <c r="Q417" s="27"/>
      <c r="R417" s="27"/>
      <c r="S417" s="27"/>
      <c r="T417" s="39"/>
    </row>
    <row r="418" spans="11:20" s="25" customFormat="1">
      <c r="K418" s="27"/>
      <c r="L418" s="27"/>
      <c r="M418" s="27"/>
      <c r="N418" s="27"/>
      <c r="O418" s="84"/>
      <c r="P418" s="27"/>
      <c r="Q418" s="27"/>
      <c r="R418" s="27"/>
      <c r="S418" s="27"/>
      <c r="T418" s="39"/>
    </row>
    <row r="419" spans="11:20" s="25" customFormat="1">
      <c r="K419" s="27"/>
      <c r="L419" s="27"/>
      <c r="M419" s="27"/>
      <c r="N419" s="27"/>
      <c r="O419" s="84"/>
      <c r="P419" s="27"/>
      <c r="Q419" s="27"/>
      <c r="R419" s="27"/>
      <c r="S419" s="27"/>
      <c r="T419" s="39"/>
    </row>
    <row r="420" spans="11:20" s="25" customFormat="1">
      <c r="K420" s="27"/>
      <c r="L420" s="27"/>
      <c r="M420" s="27"/>
      <c r="N420" s="27"/>
      <c r="O420" s="84"/>
      <c r="P420" s="27"/>
      <c r="Q420" s="27"/>
      <c r="R420" s="27"/>
      <c r="S420" s="27"/>
      <c r="T420" s="39"/>
    </row>
    <row r="421" spans="11:20" s="25" customFormat="1">
      <c r="K421" s="27"/>
      <c r="L421" s="27"/>
      <c r="M421" s="27"/>
      <c r="N421" s="27"/>
      <c r="O421" s="84"/>
      <c r="P421" s="27"/>
      <c r="Q421" s="27"/>
      <c r="R421" s="27"/>
      <c r="S421" s="27"/>
      <c r="T421" s="39"/>
    </row>
    <row r="422" spans="11:20" s="25" customFormat="1">
      <c r="K422" s="27"/>
      <c r="L422" s="27"/>
      <c r="M422" s="27"/>
      <c r="N422" s="27"/>
      <c r="O422" s="84"/>
      <c r="P422" s="27"/>
      <c r="Q422" s="27"/>
      <c r="R422" s="27"/>
      <c r="S422" s="27"/>
      <c r="T422" s="39"/>
    </row>
    <row r="423" spans="11:20" s="25" customFormat="1">
      <c r="K423" s="27"/>
      <c r="L423" s="27"/>
      <c r="M423" s="27"/>
      <c r="N423" s="27"/>
      <c r="O423" s="84"/>
      <c r="P423" s="27"/>
      <c r="Q423" s="27"/>
      <c r="R423" s="27"/>
      <c r="S423" s="27"/>
      <c r="T423" s="39"/>
    </row>
    <row r="424" spans="11:20" s="25" customFormat="1">
      <c r="K424" s="27"/>
      <c r="L424" s="27"/>
      <c r="M424" s="27"/>
      <c r="N424" s="27"/>
      <c r="O424" s="84"/>
      <c r="P424" s="27"/>
      <c r="Q424" s="27"/>
      <c r="R424" s="27"/>
      <c r="S424" s="27"/>
      <c r="T424" s="39"/>
    </row>
    <row r="425" spans="11:20" s="25" customFormat="1">
      <c r="K425" s="27"/>
      <c r="L425" s="27"/>
      <c r="M425" s="27"/>
      <c r="N425" s="27"/>
      <c r="O425" s="84"/>
      <c r="P425" s="27"/>
      <c r="Q425" s="27"/>
      <c r="R425" s="27"/>
      <c r="S425" s="27"/>
      <c r="T425" s="39"/>
    </row>
    <row r="426" spans="11:20" s="25" customFormat="1">
      <c r="K426" s="27"/>
      <c r="L426" s="27"/>
      <c r="M426" s="27"/>
      <c r="N426" s="27"/>
      <c r="O426" s="84"/>
      <c r="P426" s="27"/>
      <c r="Q426" s="27"/>
      <c r="R426" s="27"/>
      <c r="S426" s="27"/>
      <c r="T426" s="39"/>
    </row>
    <row r="427" spans="11:20" s="25" customFormat="1">
      <c r="K427" s="27"/>
      <c r="L427" s="27"/>
      <c r="M427" s="27"/>
      <c r="N427" s="27"/>
      <c r="O427" s="84"/>
      <c r="P427" s="27"/>
      <c r="Q427" s="27"/>
      <c r="R427" s="27"/>
      <c r="S427" s="27"/>
      <c r="T427" s="39"/>
    </row>
    <row r="428" spans="11:20" s="25" customFormat="1">
      <c r="K428" s="27"/>
      <c r="L428" s="27"/>
      <c r="M428" s="27"/>
      <c r="N428" s="27"/>
      <c r="O428" s="84"/>
      <c r="P428" s="27"/>
      <c r="Q428" s="27"/>
      <c r="R428" s="27"/>
      <c r="S428" s="27"/>
      <c r="T428" s="39"/>
    </row>
    <row r="429" spans="11:20" s="25" customFormat="1">
      <c r="K429" s="27"/>
      <c r="L429" s="27"/>
      <c r="M429" s="27"/>
      <c r="N429" s="27"/>
      <c r="O429" s="84"/>
      <c r="P429" s="27"/>
      <c r="Q429" s="27"/>
      <c r="R429" s="27"/>
      <c r="S429" s="27"/>
      <c r="T429" s="39"/>
    </row>
    <row r="430" spans="11:20" s="25" customFormat="1">
      <c r="K430" s="27"/>
      <c r="L430" s="27"/>
      <c r="M430" s="27"/>
      <c r="N430" s="27"/>
      <c r="O430" s="84"/>
      <c r="P430" s="27"/>
      <c r="Q430" s="27"/>
      <c r="R430" s="27"/>
      <c r="S430" s="27"/>
      <c r="T430" s="39"/>
    </row>
    <row r="431" spans="11:20" s="25" customFormat="1">
      <c r="K431" s="27"/>
      <c r="L431" s="27"/>
      <c r="M431" s="27"/>
      <c r="N431" s="27"/>
      <c r="O431" s="84"/>
      <c r="P431" s="27"/>
      <c r="Q431" s="27"/>
      <c r="R431" s="27"/>
      <c r="S431" s="27"/>
      <c r="T431" s="39"/>
    </row>
    <row r="432" spans="11:20" s="25" customFormat="1">
      <c r="K432" s="27"/>
      <c r="L432" s="27"/>
      <c r="M432" s="27"/>
      <c r="N432" s="27"/>
      <c r="O432" s="84"/>
      <c r="P432" s="27"/>
      <c r="Q432" s="27"/>
      <c r="R432" s="27"/>
      <c r="S432" s="27"/>
      <c r="T432" s="39"/>
    </row>
    <row r="433" spans="11:20" s="25" customFormat="1">
      <c r="K433" s="27"/>
      <c r="L433" s="27"/>
      <c r="M433" s="27"/>
      <c r="N433" s="27"/>
      <c r="O433" s="84"/>
      <c r="P433" s="27"/>
      <c r="Q433" s="27"/>
      <c r="R433" s="27"/>
      <c r="S433" s="27"/>
      <c r="T433" s="39"/>
    </row>
    <row r="434" spans="11:20" s="25" customFormat="1">
      <c r="K434" s="27"/>
      <c r="L434" s="27"/>
      <c r="M434" s="27"/>
      <c r="N434" s="27"/>
      <c r="O434" s="84"/>
      <c r="P434" s="27"/>
      <c r="Q434" s="27"/>
      <c r="R434" s="27"/>
      <c r="S434" s="27"/>
      <c r="T434" s="39"/>
    </row>
    <row r="435" spans="11:20" s="25" customFormat="1">
      <c r="K435" s="27"/>
      <c r="L435" s="27"/>
      <c r="M435" s="27"/>
      <c r="N435" s="27"/>
      <c r="O435" s="84"/>
      <c r="P435" s="27"/>
      <c r="Q435" s="27"/>
      <c r="R435" s="27"/>
      <c r="S435" s="27"/>
      <c r="T435" s="39"/>
    </row>
    <row r="436" spans="11:20" s="25" customFormat="1">
      <c r="K436" s="27"/>
      <c r="L436" s="27"/>
      <c r="M436" s="27"/>
      <c r="N436" s="27"/>
      <c r="O436" s="84"/>
      <c r="P436" s="27"/>
      <c r="Q436" s="27"/>
      <c r="R436" s="27"/>
      <c r="S436" s="27"/>
      <c r="T436" s="39"/>
    </row>
    <row r="437" spans="11:20" s="25" customFormat="1">
      <c r="K437" s="27"/>
      <c r="L437" s="27"/>
      <c r="M437" s="27"/>
      <c r="N437" s="27"/>
      <c r="O437" s="84"/>
      <c r="P437" s="27"/>
      <c r="Q437" s="27"/>
      <c r="R437" s="27"/>
      <c r="S437" s="27"/>
      <c r="T437" s="39"/>
    </row>
    <row r="438" spans="11:20" s="25" customFormat="1">
      <c r="K438" s="27"/>
      <c r="L438" s="27"/>
      <c r="M438" s="27"/>
      <c r="N438" s="27"/>
      <c r="O438" s="84"/>
      <c r="P438" s="27"/>
      <c r="Q438" s="27"/>
      <c r="R438" s="27"/>
      <c r="S438" s="27"/>
      <c r="T438" s="39"/>
    </row>
    <row r="439" spans="11:20" s="25" customFormat="1">
      <c r="K439" s="27"/>
      <c r="L439" s="27"/>
      <c r="M439" s="27"/>
      <c r="N439" s="27"/>
      <c r="O439" s="84"/>
      <c r="P439" s="27"/>
      <c r="Q439" s="27"/>
      <c r="R439" s="27"/>
      <c r="S439" s="27"/>
      <c r="T439" s="39"/>
    </row>
    <row r="440" spans="11:20" s="25" customFormat="1">
      <c r="K440" s="27"/>
      <c r="L440" s="27"/>
      <c r="M440" s="27"/>
      <c r="N440" s="27"/>
      <c r="O440" s="84"/>
      <c r="P440" s="27"/>
      <c r="Q440" s="27"/>
      <c r="R440" s="27"/>
      <c r="S440" s="27"/>
      <c r="T440" s="39"/>
    </row>
    <row r="441" spans="11:20" s="25" customFormat="1">
      <c r="K441" s="27"/>
      <c r="L441" s="27"/>
      <c r="M441" s="27"/>
      <c r="N441" s="27"/>
      <c r="O441" s="84"/>
      <c r="P441" s="27"/>
      <c r="Q441" s="27"/>
      <c r="R441" s="27"/>
      <c r="S441" s="27"/>
      <c r="T441" s="39"/>
    </row>
    <row r="442" spans="11:20" s="25" customFormat="1">
      <c r="K442" s="27"/>
      <c r="L442" s="27"/>
      <c r="M442" s="27"/>
      <c r="N442" s="27"/>
      <c r="O442" s="84"/>
      <c r="P442" s="27"/>
      <c r="Q442" s="27"/>
      <c r="R442" s="27"/>
      <c r="S442" s="27"/>
      <c r="T442" s="39"/>
    </row>
    <row r="443" spans="11:20" s="25" customFormat="1">
      <c r="K443" s="27"/>
      <c r="L443" s="27"/>
      <c r="M443" s="27"/>
      <c r="N443" s="27"/>
      <c r="O443" s="84"/>
      <c r="P443" s="27"/>
      <c r="Q443" s="27"/>
      <c r="R443" s="27"/>
      <c r="S443" s="27"/>
      <c r="T443" s="39"/>
    </row>
    <row r="444" spans="11:20" s="25" customFormat="1">
      <c r="K444" s="27"/>
      <c r="L444" s="27"/>
      <c r="M444" s="27"/>
      <c r="N444" s="27"/>
      <c r="O444" s="84"/>
      <c r="P444" s="27"/>
      <c r="Q444" s="27"/>
      <c r="R444" s="27"/>
      <c r="S444" s="27"/>
      <c r="T444" s="39"/>
    </row>
    <row r="445" spans="11:20" s="25" customFormat="1">
      <c r="K445" s="27"/>
      <c r="L445" s="27"/>
      <c r="M445" s="27"/>
      <c r="N445" s="27"/>
      <c r="O445" s="84"/>
      <c r="P445" s="27"/>
      <c r="Q445" s="27"/>
      <c r="R445" s="27"/>
      <c r="S445" s="27"/>
      <c r="T445" s="39"/>
    </row>
    <row r="446" spans="11:20" s="25" customFormat="1">
      <c r="K446" s="27"/>
      <c r="L446" s="27"/>
      <c r="M446" s="27"/>
      <c r="N446" s="27"/>
      <c r="O446" s="84"/>
      <c r="P446" s="27"/>
      <c r="Q446" s="27"/>
      <c r="R446" s="27"/>
      <c r="S446" s="27"/>
      <c r="T446" s="39"/>
    </row>
    <row r="447" spans="11:20" s="25" customFormat="1">
      <c r="K447" s="27"/>
      <c r="L447" s="27"/>
      <c r="M447" s="27"/>
      <c r="N447" s="27"/>
      <c r="O447" s="84"/>
      <c r="P447" s="27"/>
      <c r="Q447" s="27"/>
      <c r="R447" s="27"/>
      <c r="S447" s="27"/>
      <c r="T447" s="39"/>
    </row>
    <row r="448" spans="11:20" s="25" customFormat="1">
      <c r="K448" s="27"/>
      <c r="L448" s="27"/>
      <c r="M448" s="27"/>
      <c r="N448" s="27"/>
      <c r="O448" s="84"/>
      <c r="P448" s="27"/>
      <c r="Q448" s="27"/>
      <c r="R448" s="27"/>
      <c r="S448" s="27"/>
      <c r="T448" s="39"/>
    </row>
    <row r="449" spans="11:20" s="25" customFormat="1">
      <c r="K449" s="27"/>
      <c r="L449" s="27"/>
      <c r="M449" s="27"/>
      <c r="N449" s="27"/>
      <c r="O449" s="84"/>
      <c r="P449" s="27"/>
      <c r="Q449" s="27"/>
      <c r="R449" s="27"/>
      <c r="S449" s="27"/>
      <c r="T449" s="39"/>
    </row>
    <row r="450" spans="11:20" s="25" customFormat="1">
      <c r="K450" s="27"/>
      <c r="L450" s="27"/>
      <c r="M450" s="27"/>
      <c r="N450" s="27"/>
      <c r="O450" s="84"/>
      <c r="P450" s="27"/>
      <c r="Q450" s="27"/>
      <c r="R450" s="27"/>
      <c r="S450" s="27"/>
      <c r="T450" s="39"/>
    </row>
    <row r="451" spans="11:20" s="25" customFormat="1">
      <c r="K451" s="27"/>
      <c r="L451" s="27"/>
      <c r="M451" s="27"/>
      <c r="N451" s="27"/>
      <c r="O451" s="84"/>
      <c r="P451" s="27"/>
      <c r="Q451" s="27"/>
      <c r="R451" s="27"/>
      <c r="S451" s="27"/>
      <c r="T451" s="39"/>
    </row>
    <row r="452" spans="11:20" s="25" customFormat="1">
      <c r="K452" s="27"/>
      <c r="L452" s="27"/>
      <c r="M452" s="27"/>
      <c r="N452" s="27"/>
      <c r="O452" s="84"/>
      <c r="P452" s="27"/>
      <c r="Q452" s="27"/>
      <c r="R452" s="27"/>
      <c r="S452" s="27"/>
      <c r="T452" s="39"/>
    </row>
    <row r="453" spans="11:20" s="25" customFormat="1">
      <c r="K453" s="27"/>
      <c r="L453" s="27"/>
      <c r="M453" s="27"/>
      <c r="N453" s="27"/>
      <c r="O453" s="84"/>
      <c r="P453" s="27"/>
      <c r="Q453" s="27"/>
      <c r="R453" s="27"/>
      <c r="S453" s="27"/>
      <c r="T453" s="39"/>
    </row>
    <row r="454" spans="11:20" s="25" customFormat="1">
      <c r="K454" s="27"/>
      <c r="L454" s="27"/>
      <c r="M454" s="27"/>
      <c r="N454" s="27"/>
      <c r="O454" s="84"/>
      <c r="P454" s="27"/>
      <c r="Q454" s="27"/>
      <c r="R454" s="27"/>
      <c r="S454" s="27"/>
      <c r="T454" s="39"/>
    </row>
    <row r="455" spans="11:20" s="25" customFormat="1">
      <c r="K455" s="27"/>
      <c r="L455" s="27"/>
      <c r="M455" s="27"/>
      <c r="N455" s="27"/>
      <c r="O455" s="84"/>
      <c r="P455" s="27"/>
      <c r="Q455" s="27"/>
      <c r="R455" s="27"/>
      <c r="S455" s="27"/>
      <c r="T455" s="39"/>
    </row>
    <row r="456" spans="11:20" s="25" customFormat="1">
      <c r="K456" s="27"/>
      <c r="L456" s="27"/>
      <c r="M456" s="27"/>
      <c r="N456" s="27"/>
      <c r="O456" s="84"/>
      <c r="P456" s="27"/>
      <c r="Q456" s="27"/>
      <c r="R456" s="27"/>
      <c r="S456" s="27"/>
      <c r="T456" s="39"/>
    </row>
    <row r="457" spans="11:20" s="25" customFormat="1">
      <c r="K457" s="27"/>
      <c r="L457" s="27"/>
      <c r="M457" s="27"/>
      <c r="N457" s="27"/>
      <c r="O457" s="84"/>
      <c r="P457" s="27"/>
      <c r="Q457" s="27"/>
      <c r="R457" s="27"/>
      <c r="S457" s="27"/>
      <c r="T457" s="39"/>
    </row>
    <row r="458" spans="11:20" s="25" customFormat="1">
      <c r="K458" s="27"/>
      <c r="L458" s="27"/>
      <c r="M458" s="27"/>
      <c r="N458" s="27"/>
      <c r="O458" s="84"/>
      <c r="P458" s="27"/>
      <c r="Q458" s="27"/>
      <c r="R458" s="27"/>
      <c r="S458" s="27"/>
      <c r="T458" s="39"/>
    </row>
    <row r="459" spans="11:20" s="25" customFormat="1">
      <c r="K459" s="27"/>
      <c r="L459" s="27"/>
      <c r="M459" s="27"/>
      <c r="N459" s="27"/>
      <c r="O459" s="84"/>
      <c r="P459" s="27"/>
      <c r="Q459" s="27"/>
      <c r="R459" s="27"/>
      <c r="S459" s="27"/>
      <c r="T459" s="39"/>
    </row>
    <row r="460" spans="11:20" s="25" customFormat="1">
      <c r="K460" s="27"/>
      <c r="L460" s="27"/>
      <c r="M460" s="27"/>
      <c r="N460" s="27"/>
      <c r="O460" s="84"/>
      <c r="P460" s="27"/>
      <c r="Q460" s="27"/>
      <c r="R460" s="27"/>
      <c r="S460" s="27"/>
      <c r="T460" s="39"/>
    </row>
    <row r="461" spans="11:20" s="25" customFormat="1">
      <c r="K461" s="27"/>
      <c r="L461" s="27"/>
      <c r="M461" s="27"/>
      <c r="N461" s="27"/>
      <c r="O461" s="84"/>
      <c r="P461" s="27"/>
      <c r="Q461" s="27"/>
      <c r="R461" s="27"/>
      <c r="S461" s="27"/>
      <c r="T461" s="39"/>
    </row>
    <row r="462" spans="11:20" s="25" customFormat="1">
      <c r="K462" s="27"/>
      <c r="L462" s="27"/>
      <c r="M462" s="27"/>
      <c r="N462" s="27"/>
      <c r="O462" s="84"/>
      <c r="P462" s="27"/>
      <c r="Q462" s="27"/>
      <c r="R462" s="27"/>
      <c r="S462" s="27"/>
      <c r="T462" s="39"/>
    </row>
    <row r="463" spans="11:20" s="25" customFormat="1">
      <c r="K463" s="27"/>
      <c r="L463" s="27"/>
      <c r="M463" s="27"/>
      <c r="N463" s="27"/>
      <c r="O463" s="84"/>
      <c r="P463" s="27"/>
      <c r="Q463" s="27"/>
      <c r="R463" s="27"/>
      <c r="S463" s="27"/>
      <c r="T463" s="39"/>
    </row>
    <row r="464" spans="11:20" s="25" customFormat="1">
      <c r="K464" s="27"/>
      <c r="L464" s="27"/>
      <c r="M464" s="27"/>
      <c r="N464" s="27"/>
      <c r="O464" s="84"/>
      <c r="P464" s="27"/>
      <c r="Q464" s="27"/>
      <c r="R464" s="27"/>
      <c r="S464" s="27"/>
      <c r="T464" s="39"/>
    </row>
    <row r="465" spans="11:20" s="25" customFormat="1">
      <c r="K465" s="27"/>
      <c r="L465" s="27"/>
      <c r="M465" s="27"/>
      <c r="N465" s="27"/>
      <c r="O465" s="84"/>
      <c r="P465" s="27"/>
      <c r="Q465" s="27"/>
      <c r="R465" s="27"/>
      <c r="S465" s="27"/>
      <c r="T465" s="39"/>
    </row>
    <row r="466" spans="11:20" s="25" customFormat="1">
      <c r="K466" s="27"/>
      <c r="L466" s="27"/>
      <c r="M466" s="27"/>
      <c r="N466" s="27"/>
      <c r="O466" s="84"/>
      <c r="P466" s="27"/>
      <c r="Q466" s="27"/>
      <c r="R466" s="27"/>
      <c r="S466" s="27"/>
      <c r="T466" s="39"/>
    </row>
    <row r="467" spans="11:20" s="25" customFormat="1">
      <c r="K467" s="27"/>
      <c r="L467" s="27"/>
      <c r="M467" s="27"/>
      <c r="N467" s="27"/>
      <c r="O467" s="84"/>
      <c r="P467" s="27"/>
      <c r="Q467" s="27"/>
      <c r="R467" s="27"/>
      <c r="S467" s="27"/>
      <c r="T467" s="39"/>
    </row>
    <row r="468" spans="11:20" s="25" customFormat="1">
      <c r="K468" s="27"/>
      <c r="L468" s="27"/>
      <c r="M468" s="27"/>
      <c r="N468" s="27"/>
      <c r="O468" s="84"/>
      <c r="P468" s="27"/>
      <c r="Q468" s="27"/>
      <c r="R468" s="27"/>
      <c r="S468" s="27"/>
      <c r="T468" s="39"/>
    </row>
    <row r="469" spans="11:20" s="25" customFormat="1">
      <c r="K469" s="27"/>
      <c r="L469" s="27"/>
      <c r="M469" s="27"/>
      <c r="N469" s="27"/>
      <c r="O469" s="84"/>
      <c r="P469" s="27"/>
      <c r="Q469" s="27"/>
      <c r="R469" s="27"/>
      <c r="S469" s="27"/>
      <c r="T469" s="39"/>
    </row>
    <row r="470" spans="11:20" s="25" customFormat="1">
      <c r="K470" s="27"/>
      <c r="L470" s="27"/>
      <c r="M470" s="27"/>
      <c r="N470" s="27"/>
      <c r="O470" s="84"/>
      <c r="P470" s="27"/>
      <c r="Q470" s="27"/>
      <c r="R470" s="27"/>
      <c r="S470" s="27"/>
      <c r="T470" s="39"/>
    </row>
    <row r="471" spans="11:20" s="25" customFormat="1">
      <c r="K471" s="27"/>
      <c r="L471" s="27"/>
      <c r="M471" s="27"/>
      <c r="N471" s="27"/>
      <c r="O471" s="84"/>
      <c r="P471" s="27"/>
      <c r="Q471" s="27"/>
      <c r="R471" s="27"/>
      <c r="S471" s="27"/>
      <c r="T471" s="39"/>
    </row>
    <row r="472" spans="11:20" s="25" customFormat="1">
      <c r="K472" s="27"/>
      <c r="L472" s="27"/>
      <c r="M472" s="27"/>
      <c r="N472" s="27"/>
      <c r="O472" s="84"/>
      <c r="P472" s="27"/>
      <c r="Q472" s="27"/>
      <c r="R472" s="27"/>
      <c r="S472" s="27"/>
      <c r="T472" s="39"/>
    </row>
    <row r="473" spans="11:20" s="25" customFormat="1">
      <c r="K473" s="27"/>
      <c r="L473" s="27"/>
      <c r="M473" s="27"/>
      <c r="N473" s="27"/>
      <c r="O473" s="84"/>
      <c r="P473" s="27"/>
      <c r="Q473" s="27"/>
      <c r="R473" s="27"/>
      <c r="S473" s="27"/>
      <c r="T473" s="39"/>
    </row>
    <row r="474" spans="11:20" s="25" customFormat="1">
      <c r="K474" s="27"/>
      <c r="L474" s="27"/>
      <c r="M474" s="27"/>
      <c r="N474" s="27"/>
      <c r="O474" s="84"/>
      <c r="P474" s="27"/>
      <c r="Q474" s="27"/>
      <c r="R474" s="27"/>
      <c r="S474" s="27"/>
      <c r="T474" s="39"/>
    </row>
    <row r="475" spans="11:20" s="25" customFormat="1">
      <c r="K475" s="27"/>
      <c r="L475" s="27"/>
      <c r="M475" s="27"/>
      <c r="N475" s="27"/>
      <c r="O475" s="84"/>
      <c r="P475" s="27"/>
      <c r="Q475" s="27"/>
      <c r="R475" s="27"/>
      <c r="S475" s="27"/>
      <c r="T475" s="39"/>
    </row>
    <row r="476" spans="11:20" s="25" customFormat="1">
      <c r="K476" s="27"/>
      <c r="L476" s="27"/>
      <c r="M476" s="27"/>
      <c r="N476" s="27"/>
      <c r="O476" s="84"/>
      <c r="P476" s="27"/>
      <c r="Q476" s="27"/>
      <c r="R476" s="27"/>
      <c r="S476" s="27"/>
      <c r="T476" s="39"/>
    </row>
    <row r="477" spans="11:20" s="25" customFormat="1">
      <c r="K477" s="27"/>
      <c r="L477" s="27"/>
      <c r="M477" s="27"/>
      <c r="N477" s="27"/>
      <c r="O477" s="84"/>
      <c r="P477" s="27"/>
      <c r="Q477" s="27"/>
      <c r="R477" s="27"/>
      <c r="S477" s="27"/>
      <c r="T477" s="39"/>
    </row>
    <row r="478" spans="11:20" s="25" customFormat="1">
      <c r="K478" s="27"/>
      <c r="L478" s="27"/>
      <c r="M478" s="27"/>
      <c r="N478" s="27"/>
      <c r="O478" s="84"/>
      <c r="P478" s="27"/>
      <c r="Q478" s="27"/>
      <c r="R478" s="27"/>
      <c r="S478" s="27"/>
      <c r="T478" s="39"/>
    </row>
    <row r="479" spans="11:20" s="25" customFormat="1">
      <c r="K479" s="27"/>
      <c r="L479" s="27"/>
      <c r="M479" s="27"/>
      <c r="N479" s="27"/>
      <c r="O479" s="84"/>
      <c r="P479" s="27"/>
      <c r="Q479" s="27"/>
      <c r="R479" s="27"/>
      <c r="S479" s="27"/>
      <c r="T479" s="39"/>
    </row>
    <row r="480" spans="11:20" s="25" customFormat="1">
      <c r="K480" s="27"/>
      <c r="L480" s="27"/>
      <c r="M480" s="27"/>
      <c r="N480" s="27"/>
      <c r="O480" s="84"/>
      <c r="P480" s="27"/>
      <c r="Q480" s="27"/>
      <c r="R480" s="27"/>
      <c r="S480" s="27"/>
      <c r="T480" s="39"/>
    </row>
    <row r="481" spans="11:20" s="25" customFormat="1">
      <c r="K481" s="27"/>
      <c r="L481" s="27"/>
      <c r="M481" s="27"/>
      <c r="N481" s="27"/>
      <c r="O481" s="84"/>
      <c r="P481" s="27"/>
      <c r="Q481" s="27"/>
      <c r="R481" s="27"/>
      <c r="S481" s="27"/>
      <c r="T481" s="39"/>
    </row>
    <row r="482" spans="11:20" s="25" customFormat="1">
      <c r="K482" s="27"/>
      <c r="L482" s="27"/>
      <c r="M482" s="27"/>
      <c r="N482" s="27"/>
      <c r="O482" s="84"/>
      <c r="P482" s="27"/>
      <c r="Q482" s="27"/>
      <c r="R482" s="27"/>
      <c r="S482" s="27"/>
      <c r="T482" s="39"/>
    </row>
    <row r="483" spans="11:20" s="25" customFormat="1">
      <c r="K483" s="27"/>
      <c r="L483" s="27"/>
      <c r="M483" s="27"/>
      <c r="N483" s="27"/>
      <c r="O483" s="84"/>
      <c r="P483" s="27"/>
      <c r="Q483" s="27"/>
      <c r="R483" s="27"/>
      <c r="S483" s="27"/>
      <c r="T483" s="39"/>
    </row>
    <row r="484" spans="11:20" s="25" customFormat="1">
      <c r="K484" s="27"/>
      <c r="L484" s="27"/>
      <c r="M484" s="27"/>
      <c r="N484" s="27"/>
      <c r="O484" s="84"/>
      <c r="P484" s="27"/>
      <c r="Q484" s="27"/>
      <c r="R484" s="27"/>
      <c r="S484" s="27"/>
      <c r="T484" s="39"/>
    </row>
    <row r="485" spans="11:20" s="25" customFormat="1">
      <c r="K485" s="27"/>
      <c r="L485" s="27"/>
      <c r="M485" s="27"/>
      <c r="N485" s="27"/>
      <c r="O485" s="84"/>
      <c r="P485" s="27"/>
      <c r="Q485" s="27"/>
      <c r="R485" s="27"/>
      <c r="S485" s="27"/>
      <c r="T485" s="39"/>
    </row>
    <row r="486" spans="11:20" s="25" customFormat="1">
      <c r="K486" s="27"/>
      <c r="L486" s="27"/>
      <c r="M486" s="27"/>
      <c r="N486" s="27"/>
      <c r="O486" s="84"/>
      <c r="P486" s="27"/>
      <c r="Q486" s="27"/>
      <c r="R486" s="27"/>
      <c r="S486" s="27"/>
      <c r="T486" s="39"/>
    </row>
    <row r="487" spans="11:20" s="25" customFormat="1">
      <c r="K487" s="27"/>
      <c r="L487" s="27"/>
      <c r="M487" s="27"/>
      <c r="N487" s="27"/>
      <c r="O487" s="84"/>
      <c r="P487" s="27"/>
      <c r="Q487" s="27"/>
      <c r="R487" s="27"/>
      <c r="S487" s="27"/>
      <c r="T487" s="39"/>
    </row>
    <row r="488" spans="11:20" s="25" customFormat="1">
      <c r="K488" s="27"/>
      <c r="L488" s="27"/>
      <c r="M488" s="27"/>
      <c r="N488" s="27"/>
      <c r="O488" s="84"/>
      <c r="P488" s="27"/>
      <c r="Q488" s="27"/>
      <c r="R488" s="27"/>
      <c r="S488" s="27"/>
      <c r="T488" s="39"/>
    </row>
    <row r="489" spans="11:20" s="25" customFormat="1">
      <c r="K489" s="27"/>
      <c r="L489" s="27"/>
      <c r="M489" s="27"/>
      <c r="N489" s="27"/>
      <c r="O489" s="84"/>
      <c r="P489" s="27"/>
      <c r="Q489" s="27"/>
      <c r="R489" s="27"/>
      <c r="S489" s="27"/>
      <c r="T489" s="39"/>
    </row>
    <row r="490" spans="11:20" s="25" customFormat="1">
      <c r="K490" s="27"/>
      <c r="L490" s="27"/>
      <c r="M490" s="27"/>
      <c r="N490" s="27"/>
      <c r="O490" s="84"/>
      <c r="P490" s="27"/>
      <c r="Q490" s="27"/>
      <c r="R490" s="27"/>
      <c r="S490" s="27"/>
      <c r="T490" s="39"/>
    </row>
    <row r="491" spans="11:20" s="25" customFormat="1">
      <c r="K491" s="27"/>
      <c r="L491" s="27"/>
      <c r="M491" s="27"/>
      <c r="N491" s="27"/>
      <c r="O491" s="84"/>
      <c r="P491" s="27"/>
      <c r="Q491" s="27"/>
      <c r="R491" s="27"/>
      <c r="S491" s="27"/>
      <c r="T491" s="39"/>
    </row>
    <row r="492" spans="11:20" s="25" customFormat="1">
      <c r="K492" s="27"/>
      <c r="L492" s="27"/>
      <c r="M492" s="27"/>
      <c r="N492" s="27"/>
      <c r="O492" s="84"/>
      <c r="P492" s="27"/>
      <c r="Q492" s="27"/>
      <c r="R492" s="27"/>
      <c r="S492" s="27"/>
      <c r="T492" s="39"/>
    </row>
    <row r="493" spans="11:20" s="25" customFormat="1">
      <c r="K493" s="27"/>
      <c r="L493" s="27"/>
      <c r="M493" s="27"/>
      <c r="N493" s="27"/>
      <c r="O493" s="84"/>
      <c r="P493" s="27"/>
      <c r="Q493" s="27"/>
      <c r="R493" s="27"/>
      <c r="S493" s="27"/>
      <c r="T493" s="39"/>
    </row>
    <row r="494" spans="11:20" s="25" customFormat="1">
      <c r="K494" s="27"/>
      <c r="L494" s="27"/>
      <c r="M494" s="27"/>
      <c r="N494" s="27"/>
      <c r="O494" s="84"/>
      <c r="P494" s="27"/>
      <c r="Q494" s="27"/>
      <c r="R494" s="27"/>
      <c r="S494" s="27"/>
      <c r="T494" s="39"/>
    </row>
    <row r="495" spans="11:20" s="25" customFormat="1">
      <c r="K495" s="27"/>
      <c r="L495" s="27"/>
      <c r="M495" s="27"/>
      <c r="N495" s="27"/>
      <c r="O495" s="84"/>
      <c r="P495" s="27"/>
      <c r="Q495" s="27"/>
      <c r="R495" s="27"/>
      <c r="S495" s="27"/>
      <c r="T495" s="39"/>
    </row>
    <row r="496" spans="11:20" s="25" customFormat="1">
      <c r="K496" s="27"/>
      <c r="L496" s="27"/>
      <c r="M496" s="27"/>
      <c r="N496" s="27"/>
      <c r="O496" s="84"/>
      <c r="P496" s="27"/>
      <c r="Q496" s="27"/>
      <c r="R496" s="27"/>
      <c r="S496" s="27"/>
      <c r="T496" s="39"/>
    </row>
    <row r="497" spans="11:20" s="25" customFormat="1">
      <c r="K497" s="27"/>
      <c r="L497" s="27"/>
      <c r="M497" s="27"/>
      <c r="N497" s="27"/>
      <c r="O497" s="84"/>
      <c r="P497" s="27"/>
      <c r="Q497" s="27"/>
      <c r="R497" s="27"/>
      <c r="S497" s="27"/>
      <c r="T497" s="39"/>
    </row>
    <row r="498" spans="11:20" s="25" customFormat="1">
      <c r="K498" s="27"/>
      <c r="L498" s="27"/>
      <c r="M498" s="27"/>
      <c r="N498" s="27"/>
      <c r="O498" s="84"/>
      <c r="P498" s="27"/>
      <c r="Q498" s="27"/>
      <c r="R498" s="27"/>
      <c r="S498" s="27"/>
      <c r="T498" s="39"/>
    </row>
    <row r="499" spans="11:20" s="25" customFormat="1">
      <c r="K499" s="27"/>
      <c r="L499" s="27"/>
      <c r="M499" s="27"/>
      <c r="N499" s="27"/>
      <c r="O499" s="84"/>
      <c r="P499" s="27"/>
      <c r="Q499" s="27"/>
      <c r="R499" s="27"/>
      <c r="S499" s="27"/>
      <c r="T499" s="39"/>
    </row>
    <row r="500" spans="11:20" s="25" customFormat="1">
      <c r="K500" s="27"/>
      <c r="L500" s="27"/>
      <c r="M500" s="27"/>
      <c r="N500" s="27"/>
      <c r="O500" s="84"/>
      <c r="P500" s="27"/>
      <c r="Q500" s="27"/>
      <c r="R500" s="27"/>
      <c r="S500" s="27"/>
      <c r="T500" s="39"/>
    </row>
    <row r="501" spans="11:20" s="25" customFormat="1">
      <c r="K501" s="27"/>
      <c r="L501" s="27"/>
      <c r="M501" s="27"/>
      <c r="N501" s="27"/>
      <c r="O501" s="84"/>
      <c r="P501" s="27"/>
      <c r="Q501" s="27"/>
      <c r="R501" s="27"/>
      <c r="S501" s="27"/>
      <c r="T501" s="39"/>
    </row>
    <row r="502" spans="11:20" s="25" customFormat="1">
      <c r="K502" s="27"/>
      <c r="L502" s="27"/>
      <c r="M502" s="27"/>
      <c r="N502" s="27"/>
      <c r="O502" s="84"/>
      <c r="P502" s="27"/>
      <c r="Q502" s="27"/>
      <c r="R502" s="27"/>
      <c r="S502" s="27"/>
      <c r="T502" s="39"/>
    </row>
    <row r="503" spans="11:20" s="25" customFormat="1">
      <c r="K503" s="27"/>
      <c r="L503" s="27"/>
      <c r="M503" s="27"/>
      <c r="N503" s="27"/>
      <c r="O503" s="84"/>
      <c r="P503" s="27"/>
      <c r="Q503" s="27"/>
      <c r="R503" s="27"/>
      <c r="S503" s="27"/>
      <c r="T503" s="39"/>
    </row>
    <row r="504" spans="11:20" s="25" customFormat="1">
      <c r="K504" s="27"/>
      <c r="L504" s="27"/>
      <c r="M504" s="27"/>
      <c r="N504" s="27"/>
      <c r="O504" s="84"/>
      <c r="P504" s="27"/>
      <c r="Q504" s="27"/>
      <c r="R504" s="27"/>
      <c r="S504" s="27"/>
      <c r="T504" s="39"/>
    </row>
    <row r="505" spans="11:20" s="25" customFormat="1">
      <c r="K505" s="27"/>
      <c r="L505" s="27"/>
      <c r="M505" s="27"/>
      <c r="N505" s="27"/>
      <c r="O505" s="84"/>
      <c r="P505" s="27"/>
      <c r="Q505" s="27"/>
      <c r="R505" s="27"/>
      <c r="S505" s="27"/>
      <c r="T505" s="39"/>
    </row>
    <row r="506" spans="11:20" s="25" customFormat="1">
      <c r="K506" s="27"/>
      <c r="L506" s="27"/>
      <c r="M506" s="27"/>
      <c r="N506" s="27"/>
      <c r="O506" s="84"/>
      <c r="P506" s="27"/>
      <c r="Q506" s="27"/>
      <c r="R506" s="27"/>
      <c r="S506" s="27"/>
      <c r="T506" s="39"/>
    </row>
    <row r="507" spans="11:20" s="25" customFormat="1">
      <c r="K507" s="27"/>
      <c r="L507" s="27"/>
      <c r="M507" s="27"/>
      <c r="N507" s="27"/>
      <c r="O507" s="84"/>
      <c r="P507" s="27"/>
      <c r="Q507" s="27"/>
      <c r="R507" s="27"/>
      <c r="S507" s="27"/>
      <c r="T507" s="39"/>
    </row>
    <row r="508" spans="11:20" s="25" customFormat="1">
      <c r="K508" s="27"/>
      <c r="L508" s="27"/>
      <c r="M508" s="27"/>
      <c r="N508" s="27"/>
      <c r="O508" s="84"/>
      <c r="P508" s="27"/>
      <c r="Q508" s="27"/>
      <c r="R508" s="27"/>
      <c r="S508" s="27"/>
      <c r="T508" s="39"/>
    </row>
    <row r="509" spans="11:20" s="25" customFormat="1">
      <c r="K509" s="27"/>
      <c r="L509" s="27"/>
      <c r="M509" s="27"/>
      <c r="N509" s="27"/>
      <c r="O509" s="84"/>
      <c r="P509" s="27"/>
      <c r="Q509" s="27"/>
      <c r="R509" s="27"/>
      <c r="S509" s="27"/>
      <c r="T509" s="39"/>
    </row>
    <row r="510" spans="11:20" s="25" customFormat="1">
      <c r="K510" s="27"/>
      <c r="L510" s="27"/>
      <c r="M510" s="27"/>
      <c r="N510" s="27"/>
      <c r="O510" s="84"/>
      <c r="P510" s="27"/>
      <c r="Q510" s="27"/>
      <c r="R510" s="27"/>
      <c r="S510" s="27"/>
      <c r="T510" s="39"/>
    </row>
    <row r="511" spans="11:20" s="25" customFormat="1">
      <c r="K511" s="27"/>
      <c r="L511" s="27"/>
      <c r="M511" s="27"/>
      <c r="N511" s="27"/>
      <c r="O511" s="84"/>
      <c r="P511" s="27"/>
      <c r="Q511" s="27"/>
      <c r="R511" s="27"/>
      <c r="S511" s="27"/>
      <c r="T511" s="39"/>
    </row>
    <row r="512" spans="11:20" s="25" customFormat="1">
      <c r="K512" s="27"/>
      <c r="L512" s="27"/>
      <c r="M512" s="27"/>
      <c r="N512" s="27"/>
      <c r="O512" s="84"/>
      <c r="P512" s="27"/>
      <c r="Q512" s="27"/>
      <c r="R512" s="27"/>
      <c r="S512" s="27"/>
      <c r="T512" s="39"/>
    </row>
    <row r="513" spans="11:20" s="25" customFormat="1">
      <c r="K513" s="27"/>
      <c r="L513" s="27"/>
      <c r="M513" s="27"/>
      <c r="N513" s="27"/>
      <c r="O513" s="84"/>
      <c r="P513" s="27"/>
      <c r="Q513" s="27"/>
      <c r="R513" s="27"/>
      <c r="S513" s="27"/>
      <c r="T513" s="39"/>
    </row>
    <row r="514" spans="11:20" s="25" customFormat="1">
      <c r="K514" s="27"/>
      <c r="L514" s="27"/>
      <c r="M514" s="27"/>
      <c r="N514" s="27"/>
      <c r="O514" s="84"/>
      <c r="P514" s="27"/>
      <c r="Q514" s="27"/>
      <c r="R514" s="27"/>
      <c r="S514" s="27"/>
      <c r="T514" s="39"/>
    </row>
    <row r="515" spans="11:20" s="25" customFormat="1">
      <c r="K515" s="27"/>
      <c r="L515" s="27"/>
      <c r="M515" s="27"/>
      <c r="N515" s="27"/>
      <c r="O515" s="84"/>
      <c r="P515" s="27"/>
      <c r="Q515" s="27"/>
      <c r="R515" s="27"/>
      <c r="S515" s="27"/>
      <c r="T515" s="39"/>
    </row>
    <row r="516" spans="11:20" s="25" customFormat="1">
      <c r="K516" s="27"/>
      <c r="L516" s="27"/>
      <c r="M516" s="27"/>
      <c r="N516" s="27"/>
      <c r="O516" s="84"/>
      <c r="P516" s="27"/>
      <c r="Q516" s="27"/>
      <c r="R516" s="27"/>
      <c r="S516" s="27"/>
      <c r="T516" s="39"/>
    </row>
    <row r="517" spans="11:20" s="25" customFormat="1">
      <c r="K517" s="27"/>
      <c r="L517" s="27"/>
      <c r="M517" s="27"/>
      <c r="N517" s="27"/>
      <c r="O517" s="84"/>
      <c r="P517" s="27"/>
      <c r="Q517" s="27"/>
      <c r="R517" s="27"/>
      <c r="S517" s="27"/>
      <c r="T517" s="39"/>
    </row>
    <row r="518" spans="11:20" s="25" customFormat="1">
      <c r="K518" s="27"/>
      <c r="L518" s="27"/>
      <c r="M518" s="27"/>
      <c r="N518" s="27"/>
      <c r="O518" s="84"/>
      <c r="P518" s="27"/>
      <c r="Q518" s="27"/>
      <c r="R518" s="27"/>
      <c r="S518" s="27"/>
      <c r="T518" s="39"/>
    </row>
    <row r="519" spans="11:20" s="25" customFormat="1">
      <c r="K519" s="27"/>
      <c r="L519" s="27"/>
      <c r="M519" s="27"/>
      <c r="N519" s="27"/>
      <c r="O519" s="84"/>
      <c r="P519" s="27"/>
      <c r="Q519" s="27"/>
      <c r="R519" s="27"/>
      <c r="S519" s="27"/>
      <c r="T519" s="39"/>
    </row>
    <row r="520" spans="11:20" s="25" customFormat="1">
      <c r="K520" s="27"/>
      <c r="L520" s="27"/>
      <c r="M520" s="27"/>
      <c r="N520" s="27"/>
      <c r="O520" s="84"/>
      <c r="P520" s="27"/>
      <c r="Q520" s="27"/>
      <c r="R520" s="27"/>
      <c r="S520" s="27"/>
      <c r="T520" s="39"/>
    </row>
    <row r="521" spans="11:20" s="25" customFormat="1">
      <c r="K521" s="27"/>
      <c r="L521" s="27"/>
      <c r="M521" s="27"/>
      <c r="N521" s="27"/>
      <c r="O521" s="84"/>
      <c r="P521" s="27"/>
      <c r="Q521" s="27"/>
      <c r="R521" s="27"/>
      <c r="S521" s="27"/>
      <c r="T521" s="39"/>
    </row>
    <row r="522" spans="11:20" s="25" customFormat="1">
      <c r="K522" s="27"/>
      <c r="L522" s="27"/>
      <c r="M522" s="27"/>
      <c r="N522" s="27"/>
      <c r="O522" s="84"/>
      <c r="P522" s="27"/>
      <c r="Q522" s="27"/>
      <c r="R522" s="27"/>
      <c r="S522" s="27"/>
      <c r="T522" s="39"/>
    </row>
    <row r="523" spans="11:20" s="25" customFormat="1">
      <c r="K523" s="27"/>
      <c r="L523" s="27"/>
      <c r="M523" s="27"/>
      <c r="N523" s="27"/>
      <c r="O523" s="84"/>
      <c r="P523" s="27"/>
      <c r="Q523" s="27"/>
      <c r="R523" s="27"/>
      <c r="S523" s="27"/>
      <c r="T523" s="39"/>
    </row>
    <row r="524" spans="11:20" s="25" customFormat="1">
      <c r="K524" s="27"/>
      <c r="L524" s="27"/>
      <c r="M524" s="27"/>
      <c r="N524" s="27"/>
      <c r="O524" s="84"/>
      <c r="P524" s="27"/>
      <c r="Q524" s="27"/>
      <c r="R524" s="27"/>
      <c r="S524" s="27"/>
      <c r="T524" s="39"/>
    </row>
    <row r="525" spans="11:20" s="25" customFormat="1">
      <c r="K525" s="27"/>
      <c r="L525" s="27"/>
      <c r="M525" s="27"/>
      <c r="N525" s="27"/>
      <c r="O525" s="84"/>
      <c r="P525" s="27"/>
      <c r="Q525" s="27"/>
      <c r="R525" s="27"/>
      <c r="S525" s="27"/>
      <c r="T525" s="39"/>
    </row>
    <row r="526" spans="11:20" s="25" customFormat="1">
      <c r="K526" s="27"/>
      <c r="L526" s="27"/>
      <c r="M526" s="27"/>
      <c r="N526" s="27"/>
      <c r="O526" s="84"/>
      <c r="P526" s="27"/>
      <c r="Q526" s="27"/>
      <c r="R526" s="27"/>
      <c r="S526" s="27"/>
      <c r="T526" s="39"/>
    </row>
    <row r="527" spans="11:20" s="25" customFormat="1">
      <c r="K527" s="27"/>
      <c r="L527" s="27"/>
      <c r="M527" s="27"/>
      <c r="N527" s="27"/>
      <c r="O527" s="84"/>
      <c r="P527" s="27"/>
      <c r="Q527" s="27"/>
      <c r="R527" s="27"/>
      <c r="S527" s="27"/>
      <c r="T527" s="39"/>
    </row>
    <row r="528" spans="11:20" s="25" customFormat="1">
      <c r="K528" s="27"/>
      <c r="L528" s="27"/>
      <c r="M528" s="27"/>
      <c r="N528" s="27"/>
      <c r="O528" s="84"/>
      <c r="P528" s="27"/>
      <c r="Q528" s="27"/>
      <c r="R528" s="27"/>
      <c r="S528" s="27"/>
      <c r="T528" s="39"/>
    </row>
    <row r="529" spans="11:20" s="25" customFormat="1">
      <c r="K529" s="27"/>
      <c r="L529" s="27"/>
      <c r="M529" s="27"/>
      <c r="N529" s="27"/>
      <c r="O529" s="84"/>
      <c r="P529" s="27"/>
      <c r="Q529" s="27"/>
      <c r="R529" s="27"/>
      <c r="S529" s="27"/>
      <c r="T529" s="39"/>
    </row>
    <row r="530" spans="11:20" s="25" customFormat="1">
      <c r="K530" s="27"/>
      <c r="L530" s="27"/>
      <c r="M530" s="27"/>
      <c r="N530" s="27"/>
      <c r="O530" s="84"/>
      <c r="P530" s="27"/>
      <c r="Q530" s="27"/>
      <c r="R530" s="27"/>
      <c r="S530" s="27"/>
      <c r="T530" s="39"/>
    </row>
    <row r="531" spans="11:20" s="25" customFormat="1">
      <c r="K531" s="27"/>
      <c r="L531" s="27"/>
      <c r="M531" s="27"/>
      <c r="N531" s="27"/>
      <c r="O531" s="84"/>
      <c r="P531" s="27"/>
      <c r="Q531" s="27"/>
      <c r="R531" s="27"/>
      <c r="S531" s="27"/>
      <c r="T531" s="39"/>
    </row>
    <row r="532" spans="11:20" s="25" customFormat="1">
      <c r="K532" s="27"/>
      <c r="L532" s="27"/>
      <c r="M532" s="27"/>
      <c r="N532" s="27"/>
      <c r="O532" s="84"/>
      <c r="P532" s="27"/>
      <c r="Q532" s="27"/>
      <c r="R532" s="27"/>
      <c r="S532" s="27"/>
      <c r="T532" s="39"/>
    </row>
    <row r="533" spans="11:20" s="25" customFormat="1">
      <c r="K533" s="27"/>
      <c r="L533" s="27"/>
      <c r="M533" s="27"/>
      <c r="N533" s="27"/>
      <c r="O533" s="84"/>
      <c r="P533" s="27"/>
      <c r="Q533" s="27"/>
      <c r="R533" s="27"/>
      <c r="S533" s="27"/>
      <c r="T533" s="39"/>
    </row>
    <row r="534" spans="11:20" s="25" customFormat="1">
      <c r="K534" s="27"/>
      <c r="L534" s="27"/>
      <c r="M534" s="27"/>
      <c r="N534" s="27"/>
      <c r="O534" s="84"/>
      <c r="P534" s="27"/>
      <c r="Q534" s="27"/>
      <c r="R534" s="27"/>
      <c r="S534" s="27"/>
      <c r="T534" s="39"/>
    </row>
    <row r="535" spans="11:20" s="25" customFormat="1">
      <c r="K535" s="27"/>
      <c r="L535" s="27"/>
      <c r="M535" s="27"/>
      <c r="N535" s="27"/>
      <c r="O535" s="84"/>
      <c r="P535" s="27"/>
      <c r="Q535" s="27"/>
      <c r="R535" s="27"/>
      <c r="S535" s="27"/>
      <c r="T535" s="39"/>
    </row>
    <row r="536" spans="11:20" s="25" customFormat="1">
      <c r="K536" s="27"/>
      <c r="L536" s="27"/>
      <c r="M536" s="27"/>
      <c r="N536" s="27"/>
      <c r="O536" s="84"/>
      <c r="P536" s="27"/>
      <c r="Q536" s="27"/>
      <c r="R536" s="27"/>
      <c r="S536" s="27"/>
      <c r="T536" s="39"/>
    </row>
    <row r="537" spans="11:20" s="25" customFormat="1">
      <c r="K537" s="27"/>
      <c r="L537" s="27"/>
      <c r="M537" s="27"/>
      <c r="N537" s="27"/>
      <c r="O537" s="84"/>
      <c r="P537" s="27"/>
      <c r="Q537" s="27"/>
      <c r="R537" s="27"/>
      <c r="S537" s="27"/>
      <c r="T537" s="39"/>
    </row>
    <row r="538" spans="11:20" s="25" customFormat="1">
      <c r="K538" s="27"/>
      <c r="L538" s="27"/>
      <c r="M538" s="27"/>
      <c r="N538" s="27"/>
      <c r="O538" s="84"/>
      <c r="P538" s="27"/>
      <c r="Q538" s="27"/>
      <c r="R538" s="27"/>
      <c r="S538" s="27"/>
      <c r="T538" s="39"/>
    </row>
    <row r="539" spans="11:20" s="25" customFormat="1">
      <c r="K539" s="27"/>
      <c r="L539" s="27"/>
      <c r="M539" s="27"/>
      <c r="N539" s="27"/>
      <c r="O539" s="84"/>
      <c r="P539" s="27"/>
      <c r="Q539" s="27"/>
      <c r="R539" s="27"/>
      <c r="S539" s="27"/>
      <c r="T539" s="39"/>
    </row>
    <row r="540" spans="11:20" s="25" customFormat="1">
      <c r="K540" s="27"/>
      <c r="L540" s="27"/>
      <c r="M540" s="27"/>
      <c r="N540" s="27"/>
      <c r="O540" s="84"/>
      <c r="P540" s="27"/>
      <c r="Q540" s="27"/>
      <c r="R540" s="27"/>
      <c r="S540" s="27"/>
      <c r="T540" s="39"/>
    </row>
    <row r="541" spans="11:20" s="25" customFormat="1">
      <c r="K541" s="27"/>
      <c r="L541" s="27"/>
      <c r="M541" s="27"/>
      <c r="N541" s="27"/>
      <c r="O541" s="84"/>
      <c r="P541" s="27"/>
      <c r="Q541" s="27"/>
      <c r="R541" s="27"/>
      <c r="S541" s="27"/>
      <c r="T541" s="39"/>
    </row>
    <row r="542" spans="11:20" s="25" customFormat="1">
      <c r="K542" s="27"/>
      <c r="L542" s="27"/>
      <c r="M542" s="27"/>
      <c r="N542" s="27"/>
      <c r="O542" s="84"/>
      <c r="P542" s="27"/>
      <c r="Q542" s="27"/>
      <c r="R542" s="27"/>
      <c r="S542" s="27"/>
      <c r="T542" s="39"/>
    </row>
    <row r="543" spans="11:20" s="25" customFormat="1">
      <c r="K543" s="27"/>
      <c r="L543" s="27"/>
      <c r="M543" s="27"/>
      <c r="N543" s="27"/>
      <c r="O543" s="84"/>
      <c r="P543" s="27"/>
      <c r="Q543" s="27"/>
      <c r="R543" s="27"/>
      <c r="S543" s="27"/>
      <c r="T543" s="39"/>
    </row>
    <row r="544" spans="11:20" s="25" customFormat="1">
      <c r="K544" s="27"/>
      <c r="L544" s="27"/>
      <c r="M544" s="27"/>
      <c r="N544" s="27"/>
      <c r="O544" s="84"/>
      <c r="P544" s="27"/>
      <c r="Q544" s="27"/>
      <c r="R544" s="27"/>
      <c r="S544" s="27"/>
      <c r="T544" s="39"/>
    </row>
    <row r="545" spans="11:20" s="25" customFormat="1">
      <c r="K545" s="27"/>
      <c r="L545" s="27"/>
      <c r="M545" s="27"/>
      <c r="N545" s="27"/>
      <c r="O545" s="84"/>
      <c r="P545" s="27"/>
      <c r="Q545" s="27"/>
      <c r="R545" s="27"/>
      <c r="S545" s="27"/>
      <c r="T545" s="39"/>
    </row>
    <row r="546" spans="11:20" s="25" customFormat="1">
      <c r="K546" s="27"/>
      <c r="L546" s="27"/>
      <c r="M546" s="27"/>
      <c r="N546" s="27"/>
      <c r="O546" s="84"/>
      <c r="P546" s="27"/>
      <c r="Q546" s="27"/>
      <c r="R546" s="27"/>
      <c r="S546" s="27"/>
      <c r="T546" s="39"/>
    </row>
    <row r="547" spans="11:20" s="25" customFormat="1">
      <c r="K547" s="27"/>
      <c r="L547" s="27"/>
      <c r="M547" s="27"/>
      <c r="N547" s="27"/>
      <c r="O547" s="84"/>
      <c r="P547" s="27"/>
      <c r="Q547" s="27"/>
      <c r="R547" s="27"/>
      <c r="S547" s="27"/>
      <c r="T547" s="39"/>
    </row>
    <row r="548" spans="11:20" s="25" customFormat="1">
      <c r="K548" s="27"/>
      <c r="L548" s="27"/>
      <c r="M548" s="27"/>
      <c r="N548" s="27"/>
      <c r="O548" s="84"/>
      <c r="P548" s="27"/>
      <c r="Q548" s="27"/>
      <c r="R548" s="27"/>
      <c r="S548" s="27"/>
      <c r="T548" s="39"/>
    </row>
    <row r="549" spans="11:20" s="25" customFormat="1">
      <c r="K549" s="27"/>
      <c r="L549" s="27"/>
      <c r="M549" s="27"/>
      <c r="N549" s="27"/>
      <c r="O549" s="84"/>
      <c r="P549" s="27"/>
      <c r="Q549" s="27"/>
      <c r="R549" s="27"/>
      <c r="S549" s="27"/>
      <c r="T549" s="39"/>
    </row>
    <row r="550" spans="11:20" s="25" customFormat="1">
      <c r="K550" s="27"/>
      <c r="L550" s="27"/>
      <c r="M550" s="27"/>
      <c r="N550" s="27"/>
      <c r="O550" s="84"/>
      <c r="P550" s="27"/>
      <c r="Q550" s="27"/>
      <c r="R550" s="27"/>
      <c r="S550" s="27"/>
      <c r="T550" s="39"/>
    </row>
    <row r="551" spans="11:20" s="25" customFormat="1">
      <c r="K551" s="27"/>
      <c r="L551" s="27"/>
      <c r="M551" s="27"/>
      <c r="N551" s="27"/>
      <c r="O551" s="84"/>
      <c r="P551" s="27"/>
      <c r="Q551" s="27"/>
      <c r="R551" s="27"/>
      <c r="S551" s="27"/>
      <c r="T551" s="39"/>
    </row>
    <row r="552" spans="11:20" s="25" customFormat="1">
      <c r="K552" s="27"/>
      <c r="L552" s="27"/>
      <c r="M552" s="27"/>
      <c r="N552" s="27"/>
      <c r="O552" s="84"/>
      <c r="P552" s="27"/>
      <c r="Q552" s="27"/>
      <c r="R552" s="27"/>
      <c r="S552" s="27"/>
      <c r="T552" s="39"/>
    </row>
    <row r="553" spans="11:20" s="25" customFormat="1">
      <c r="K553" s="27"/>
      <c r="L553" s="27"/>
      <c r="M553" s="27"/>
      <c r="N553" s="27"/>
      <c r="O553" s="84"/>
      <c r="P553" s="27"/>
      <c r="Q553" s="27"/>
      <c r="R553" s="27"/>
      <c r="S553" s="27"/>
      <c r="T553" s="39"/>
    </row>
    <row r="554" spans="11:20" s="25" customFormat="1">
      <c r="K554" s="27"/>
      <c r="L554" s="27"/>
      <c r="M554" s="27"/>
      <c r="N554" s="27"/>
      <c r="O554" s="84"/>
      <c r="P554" s="27"/>
      <c r="Q554" s="27"/>
      <c r="R554" s="27"/>
      <c r="S554" s="27"/>
      <c r="T554" s="39"/>
    </row>
    <row r="555" spans="11:20" s="25" customFormat="1">
      <c r="K555" s="27"/>
      <c r="L555" s="27"/>
      <c r="M555" s="27"/>
      <c r="N555" s="27"/>
      <c r="O555" s="84"/>
      <c r="P555" s="27"/>
      <c r="Q555" s="27"/>
      <c r="R555" s="27"/>
      <c r="S555" s="27"/>
      <c r="T555" s="39"/>
    </row>
    <row r="556" spans="11:20" s="25" customFormat="1">
      <c r="K556" s="27"/>
      <c r="L556" s="27"/>
      <c r="M556" s="27"/>
      <c r="N556" s="27"/>
      <c r="O556" s="84"/>
      <c r="P556" s="27"/>
      <c r="Q556" s="27"/>
      <c r="R556" s="27"/>
      <c r="S556" s="27"/>
      <c r="T556" s="39"/>
    </row>
    <row r="557" spans="11:20" s="25" customFormat="1">
      <c r="K557" s="27"/>
      <c r="L557" s="27"/>
      <c r="M557" s="27"/>
      <c r="N557" s="27"/>
      <c r="O557" s="84"/>
      <c r="P557" s="27"/>
      <c r="Q557" s="27"/>
      <c r="R557" s="27"/>
      <c r="S557" s="27"/>
      <c r="T557" s="39"/>
    </row>
    <row r="558" spans="11:20" s="25" customFormat="1">
      <c r="K558" s="27"/>
      <c r="L558" s="27"/>
      <c r="M558" s="27"/>
      <c r="N558" s="27"/>
      <c r="O558" s="84"/>
      <c r="P558" s="27"/>
      <c r="Q558" s="27"/>
      <c r="R558" s="27"/>
      <c r="S558" s="27"/>
      <c r="T558" s="39"/>
    </row>
    <row r="559" spans="11:20" s="25" customFormat="1">
      <c r="K559" s="27"/>
      <c r="L559" s="27"/>
      <c r="M559" s="27"/>
      <c r="N559" s="27"/>
      <c r="O559" s="84"/>
      <c r="P559" s="27"/>
      <c r="Q559" s="27"/>
      <c r="R559" s="27"/>
      <c r="S559" s="27"/>
      <c r="T559" s="39"/>
    </row>
    <row r="560" spans="11:20" s="25" customFormat="1">
      <c r="K560" s="27"/>
      <c r="L560" s="27"/>
      <c r="M560" s="27"/>
      <c r="N560" s="27"/>
      <c r="O560" s="84"/>
      <c r="P560" s="27"/>
      <c r="Q560" s="27"/>
      <c r="R560" s="27"/>
      <c r="S560" s="27"/>
      <c r="T560" s="39"/>
    </row>
    <row r="561" spans="11:20" s="25" customFormat="1">
      <c r="K561" s="27"/>
      <c r="L561" s="27"/>
      <c r="M561" s="27"/>
      <c r="N561" s="27"/>
      <c r="O561" s="84"/>
      <c r="P561" s="27"/>
      <c r="Q561" s="27"/>
      <c r="R561" s="27"/>
      <c r="S561" s="27"/>
      <c r="T561" s="39"/>
    </row>
    <row r="562" spans="11:20" s="25" customFormat="1">
      <c r="K562" s="27"/>
      <c r="L562" s="27"/>
      <c r="M562" s="27"/>
      <c r="N562" s="27"/>
      <c r="O562" s="84"/>
      <c r="P562" s="27"/>
      <c r="Q562" s="27"/>
      <c r="R562" s="27"/>
      <c r="S562" s="27"/>
      <c r="T562" s="39"/>
    </row>
    <row r="563" spans="11:20" s="25" customFormat="1">
      <c r="K563" s="27"/>
      <c r="L563" s="27"/>
      <c r="M563" s="27"/>
      <c r="N563" s="27"/>
      <c r="O563" s="84"/>
      <c r="P563" s="27"/>
      <c r="Q563" s="27"/>
      <c r="R563" s="27"/>
      <c r="S563" s="27"/>
      <c r="T563" s="39"/>
    </row>
    <row r="564" spans="11:20" s="25" customFormat="1">
      <c r="K564" s="27"/>
      <c r="L564" s="27"/>
      <c r="M564" s="27"/>
      <c r="N564" s="27"/>
      <c r="O564" s="84"/>
      <c r="P564" s="27"/>
      <c r="Q564" s="27"/>
      <c r="R564" s="27"/>
      <c r="S564" s="27"/>
      <c r="T564" s="39"/>
    </row>
    <row r="565" spans="11:20" s="25" customFormat="1">
      <c r="K565" s="27"/>
      <c r="L565" s="27"/>
      <c r="M565" s="27"/>
      <c r="N565" s="27"/>
      <c r="O565" s="84"/>
      <c r="P565" s="27"/>
      <c r="Q565" s="27"/>
      <c r="R565" s="27"/>
      <c r="S565" s="27"/>
      <c r="T565" s="39"/>
    </row>
    <row r="566" spans="11:20" s="25" customFormat="1">
      <c r="K566" s="27"/>
      <c r="L566" s="27"/>
      <c r="M566" s="27"/>
      <c r="N566" s="27"/>
      <c r="O566" s="84"/>
      <c r="P566" s="27"/>
      <c r="Q566" s="27"/>
      <c r="R566" s="27"/>
      <c r="S566" s="27"/>
      <c r="T566" s="39"/>
    </row>
    <row r="567" spans="11:20" s="25" customFormat="1">
      <c r="K567" s="27"/>
      <c r="L567" s="27"/>
      <c r="M567" s="27"/>
      <c r="N567" s="27"/>
      <c r="O567" s="84"/>
      <c r="P567" s="27"/>
      <c r="Q567" s="27"/>
      <c r="R567" s="27"/>
      <c r="S567" s="27"/>
      <c r="T567" s="39"/>
    </row>
    <row r="568" spans="11:20" s="25" customFormat="1">
      <c r="K568" s="27"/>
      <c r="L568" s="27"/>
      <c r="M568" s="27"/>
      <c r="N568" s="27"/>
      <c r="O568" s="84"/>
      <c r="P568" s="27"/>
      <c r="Q568" s="27"/>
      <c r="R568" s="27"/>
      <c r="S568" s="27"/>
      <c r="T568" s="39"/>
    </row>
    <row r="569" spans="11:20" s="25" customFormat="1">
      <c r="K569" s="27"/>
      <c r="L569" s="27"/>
      <c r="M569" s="27"/>
      <c r="N569" s="27"/>
      <c r="O569" s="84"/>
      <c r="P569" s="27"/>
      <c r="Q569" s="27"/>
      <c r="R569" s="27"/>
      <c r="S569" s="27"/>
      <c r="T569" s="39"/>
    </row>
    <row r="570" spans="11:20" s="25" customFormat="1">
      <c r="K570" s="27"/>
      <c r="L570" s="27"/>
      <c r="M570" s="27"/>
      <c r="N570" s="27"/>
      <c r="O570" s="84"/>
      <c r="P570" s="27"/>
      <c r="Q570" s="27"/>
      <c r="R570" s="27"/>
      <c r="S570" s="27"/>
      <c r="T570" s="39"/>
    </row>
    <row r="571" spans="11:20" s="25" customFormat="1">
      <c r="K571" s="27"/>
      <c r="L571" s="27"/>
      <c r="M571" s="27"/>
      <c r="N571" s="27"/>
      <c r="O571" s="84"/>
      <c r="P571" s="27"/>
      <c r="Q571" s="27"/>
      <c r="R571" s="27"/>
      <c r="S571" s="27"/>
      <c r="T571" s="39"/>
    </row>
    <row r="572" spans="11:20" s="25" customFormat="1">
      <c r="K572" s="27"/>
      <c r="L572" s="27"/>
      <c r="M572" s="27"/>
      <c r="N572" s="27"/>
      <c r="O572" s="84"/>
      <c r="P572" s="27"/>
      <c r="Q572" s="27"/>
      <c r="R572" s="27"/>
      <c r="S572" s="27"/>
      <c r="T572" s="39"/>
    </row>
    <row r="573" spans="11:20" s="25" customFormat="1">
      <c r="K573" s="27"/>
      <c r="L573" s="27"/>
      <c r="M573" s="27"/>
      <c r="N573" s="27"/>
      <c r="O573" s="84"/>
      <c r="P573" s="27"/>
      <c r="Q573" s="27"/>
      <c r="R573" s="27"/>
      <c r="S573" s="27"/>
      <c r="T573" s="39"/>
    </row>
    <row r="574" spans="11:20" s="25" customFormat="1">
      <c r="K574" s="27"/>
      <c r="L574" s="27"/>
      <c r="M574" s="27"/>
      <c r="N574" s="27"/>
      <c r="O574" s="84"/>
      <c r="P574" s="27"/>
      <c r="Q574" s="27"/>
      <c r="R574" s="27"/>
      <c r="S574" s="27"/>
      <c r="T574" s="39"/>
    </row>
    <row r="575" spans="11:20" s="25" customFormat="1">
      <c r="K575" s="27"/>
      <c r="L575" s="27"/>
      <c r="M575" s="27"/>
      <c r="N575" s="27"/>
      <c r="O575" s="84"/>
      <c r="P575" s="27"/>
      <c r="Q575" s="27"/>
      <c r="R575" s="27"/>
      <c r="S575" s="27"/>
      <c r="T575" s="39"/>
    </row>
    <row r="576" spans="11:20" s="25" customFormat="1">
      <c r="K576" s="27"/>
      <c r="L576" s="27"/>
      <c r="M576" s="27"/>
      <c r="N576" s="27"/>
      <c r="O576" s="84"/>
      <c r="P576" s="27"/>
      <c r="Q576" s="27"/>
      <c r="R576" s="27"/>
      <c r="S576" s="27"/>
      <c r="T576" s="39"/>
    </row>
    <row r="577" spans="11:20" s="25" customFormat="1">
      <c r="K577" s="27"/>
      <c r="L577" s="27"/>
      <c r="M577" s="27"/>
      <c r="N577" s="27"/>
      <c r="O577" s="84"/>
      <c r="P577" s="27"/>
      <c r="Q577" s="27"/>
      <c r="R577" s="27"/>
      <c r="S577" s="27"/>
      <c r="T577" s="39"/>
    </row>
    <row r="578" spans="11:20" s="25" customFormat="1">
      <c r="K578" s="27"/>
      <c r="L578" s="27"/>
      <c r="M578" s="27"/>
      <c r="N578" s="27"/>
      <c r="O578" s="84"/>
      <c r="P578" s="27"/>
      <c r="Q578" s="27"/>
      <c r="R578" s="27"/>
      <c r="S578" s="27"/>
      <c r="T578" s="39"/>
    </row>
    <row r="579" spans="11:20" s="25" customFormat="1">
      <c r="K579" s="27"/>
      <c r="L579" s="27"/>
      <c r="M579" s="27"/>
      <c r="N579" s="27"/>
      <c r="O579" s="84"/>
      <c r="P579" s="27"/>
      <c r="Q579" s="27"/>
      <c r="R579" s="27"/>
      <c r="S579" s="27"/>
      <c r="T579" s="39"/>
    </row>
    <row r="580" spans="11:20" s="25" customFormat="1">
      <c r="K580" s="27"/>
      <c r="L580" s="27"/>
      <c r="M580" s="27"/>
      <c r="N580" s="27"/>
      <c r="O580" s="84"/>
      <c r="P580" s="27"/>
      <c r="Q580" s="27"/>
      <c r="R580" s="27"/>
      <c r="S580" s="27"/>
      <c r="T580" s="39"/>
    </row>
    <row r="581" spans="11:20" s="25" customFormat="1">
      <c r="K581" s="27"/>
      <c r="L581" s="27"/>
      <c r="M581" s="27"/>
      <c r="N581" s="27"/>
      <c r="O581" s="84"/>
      <c r="P581" s="27"/>
      <c r="Q581" s="27"/>
      <c r="R581" s="27"/>
      <c r="S581" s="27"/>
      <c r="T581" s="39"/>
    </row>
    <row r="582" spans="11:20" s="25" customFormat="1">
      <c r="K582" s="27"/>
      <c r="L582" s="27"/>
      <c r="M582" s="27"/>
      <c r="N582" s="27"/>
      <c r="O582" s="84"/>
      <c r="P582" s="27"/>
      <c r="Q582" s="27"/>
      <c r="R582" s="27"/>
      <c r="S582" s="27"/>
      <c r="T582" s="39"/>
    </row>
    <row r="583" spans="11:20" s="25" customFormat="1">
      <c r="K583" s="27"/>
      <c r="L583" s="27"/>
      <c r="M583" s="27"/>
      <c r="N583" s="27"/>
      <c r="O583" s="84"/>
      <c r="P583" s="27"/>
      <c r="Q583" s="27"/>
      <c r="R583" s="27"/>
      <c r="S583" s="27"/>
      <c r="T583" s="39"/>
    </row>
    <row r="584" spans="11:20" s="25" customFormat="1">
      <c r="K584" s="27"/>
      <c r="L584" s="27"/>
      <c r="M584" s="27"/>
      <c r="N584" s="27"/>
      <c r="O584" s="84"/>
      <c r="P584" s="27"/>
      <c r="Q584" s="27"/>
      <c r="R584" s="27"/>
      <c r="S584" s="27"/>
      <c r="T584" s="39"/>
    </row>
    <row r="585" spans="11:20" s="25" customFormat="1">
      <c r="K585" s="27"/>
      <c r="L585" s="27"/>
      <c r="M585" s="27"/>
      <c r="N585" s="27"/>
      <c r="O585" s="84"/>
      <c r="P585" s="27"/>
      <c r="Q585" s="27"/>
      <c r="R585" s="27"/>
      <c r="S585" s="27"/>
      <c r="T585" s="39"/>
    </row>
    <row r="586" spans="11:20" s="25" customFormat="1">
      <c r="K586" s="27"/>
      <c r="L586" s="27"/>
      <c r="M586" s="27"/>
      <c r="N586" s="27"/>
      <c r="O586" s="84"/>
      <c r="P586" s="27"/>
      <c r="Q586" s="27"/>
      <c r="R586" s="27"/>
      <c r="S586" s="27"/>
      <c r="T586" s="39"/>
    </row>
    <row r="587" spans="11:20" s="25" customFormat="1">
      <c r="K587" s="27"/>
      <c r="L587" s="27"/>
      <c r="M587" s="27"/>
      <c r="N587" s="27"/>
      <c r="O587" s="84"/>
      <c r="P587" s="27"/>
      <c r="Q587" s="27"/>
      <c r="R587" s="27"/>
      <c r="S587" s="27"/>
      <c r="T587" s="39"/>
    </row>
    <row r="588" spans="11:20" s="25" customFormat="1">
      <c r="K588" s="27"/>
      <c r="L588" s="27"/>
      <c r="M588" s="27"/>
      <c r="N588" s="27"/>
      <c r="O588" s="84"/>
      <c r="P588" s="27"/>
      <c r="Q588" s="27"/>
      <c r="R588" s="27"/>
      <c r="S588" s="27"/>
      <c r="T588" s="39"/>
    </row>
    <row r="589" spans="11:20" s="25" customFormat="1">
      <c r="K589" s="27"/>
      <c r="L589" s="27"/>
      <c r="M589" s="27"/>
      <c r="N589" s="27"/>
      <c r="O589" s="84"/>
      <c r="P589" s="27"/>
      <c r="Q589" s="27"/>
      <c r="R589" s="27"/>
      <c r="S589" s="27"/>
      <c r="T589" s="39"/>
    </row>
    <row r="590" spans="11:20" s="25" customFormat="1">
      <c r="K590" s="27"/>
      <c r="L590" s="27"/>
      <c r="M590" s="27"/>
      <c r="N590" s="27"/>
      <c r="O590" s="84"/>
      <c r="P590" s="27"/>
      <c r="Q590" s="27"/>
      <c r="R590" s="27"/>
      <c r="S590" s="27"/>
      <c r="T590" s="39"/>
    </row>
    <row r="591" spans="11:20" s="25" customFormat="1">
      <c r="K591" s="27"/>
      <c r="L591" s="27"/>
      <c r="M591" s="27"/>
      <c r="N591" s="27"/>
      <c r="O591" s="84"/>
      <c r="P591" s="27"/>
      <c r="Q591" s="27"/>
      <c r="R591" s="27"/>
      <c r="S591" s="27"/>
      <c r="T591" s="39"/>
    </row>
    <row r="592" spans="11:20" s="25" customFormat="1">
      <c r="K592" s="27"/>
      <c r="L592" s="27"/>
      <c r="M592" s="27"/>
      <c r="N592" s="27"/>
      <c r="O592" s="84"/>
      <c r="P592" s="27"/>
      <c r="Q592" s="27"/>
      <c r="R592" s="27"/>
      <c r="S592" s="27"/>
      <c r="T592" s="39"/>
    </row>
    <row r="593" spans="11:20" s="25" customFormat="1">
      <c r="K593" s="27"/>
      <c r="L593" s="27"/>
      <c r="M593" s="27"/>
      <c r="N593" s="27"/>
      <c r="O593" s="84"/>
      <c r="P593" s="27"/>
      <c r="Q593" s="27"/>
      <c r="R593" s="27"/>
      <c r="S593" s="27"/>
      <c r="T593" s="39"/>
    </row>
    <row r="594" spans="11:20" s="25" customFormat="1">
      <c r="K594" s="27"/>
      <c r="L594" s="27"/>
      <c r="M594" s="27"/>
      <c r="N594" s="27"/>
      <c r="O594" s="84"/>
      <c r="P594" s="27"/>
      <c r="Q594" s="27"/>
      <c r="R594" s="27"/>
      <c r="S594" s="27"/>
      <c r="T594" s="39"/>
    </row>
    <row r="595" spans="11:20" s="25" customFormat="1">
      <c r="K595" s="27"/>
      <c r="L595" s="27"/>
      <c r="M595" s="27"/>
      <c r="N595" s="27"/>
      <c r="O595" s="84"/>
      <c r="P595" s="27"/>
      <c r="Q595" s="27"/>
      <c r="R595" s="27"/>
      <c r="S595" s="27"/>
      <c r="T595" s="39"/>
    </row>
    <row r="596" spans="11:20" s="25" customFormat="1">
      <c r="K596" s="27"/>
      <c r="L596" s="27"/>
      <c r="M596" s="27"/>
      <c r="N596" s="27"/>
      <c r="O596" s="84"/>
      <c r="P596" s="27"/>
      <c r="Q596" s="27"/>
      <c r="R596" s="27"/>
      <c r="S596" s="27"/>
      <c r="T596" s="39"/>
    </row>
    <row r="597" spans="11:20" s="25" customFormat="1">
      <c r="K597" s="27"/>
      <c r="L597" s="27"/>
      <c r="M597" s="27"/>
      <c r="N597" s="27"/>
      <c r="O597" s="84"/>
      <c r="P597" s="27"/>
      <c r="Q597" s="27"/>
      <c r="R597" s="27"/>
      <c r="S597" s="27"/>
      <c r="T597" s="39"/>
    </row>
    <row r="598" spans="11:20" s="25" customFormat="1">
      <c r="K598" s="27"/>
      <c r="L598" s="27"/>
      <c r="M598" s="27"/>
      <c r="N598" s="27"/>
      <c r="O598" s="84"/>
      <c r="P598" s="27"/>
      <c r="Q598" s="27"/>
      <c r="R598" s="27"/>
      <c r="S598" s="27"/>
      <c r="T598" s="39"/>
    </row>
    <row r="599" spans="11:20" s="25" customFormat="1">
      <c r="K599" s="27"/>
      <c r="L599" s="27"/>
      <c r="M599" s="27"/>
      <c r="N599" s="27"/>
      <c r="O599" s="84"/>
      <c r="P599" s="27"/>
      <c r="Q599" s="27"/>
      <c r="R599" s="27"/>
      <c r="S599" s="27"/>
      <c r="T599" s="39"/>
    </row>
    <row r="600" spans="11:20" s="25" customFormat="1">
      <c r="K600" s="27"/>
      <c r="L600" s="27"/>
      <c r="M600" s="27"/>
      <c r="N600" s="27"/>
      <c r="O600" s="84"/>
      <c r="P600" s="27"/>
      <c r="Q600" s="27"/>
      <c r="R600" s="27"/>
      <c r="S600" s="27"/>
      <c r="T600" s="39"/>
    </row>
    <row r="601" spans="11:20" s="25" customFormat="1">
      <c r="K601" s="27"/>
      <c r="L601" s="27"/>
      <c r="M601" s="27"/>
      <c r="N601" s="27"/>
      <c r="O601" s="84"/>
      <c r="P601" s="27"/>
      <c r="Q601" s="27"/>
      <c r="R601" s="27"/>
      <c r="S601" s="27"/>
      <c r="T601" s="39"/>
    </row>
    <row r="602" spans="11:20" s="25" customFormat="1">
      <c r="K602" s="27"/>
      <c r="L602" s="27"/>
      <c r="M602" s="27"/>
      <c r="N602" s="27"/>
      <c r="O602" s="84"/>
      <c r="P602" s="27"/>
      <c r="Q602" s="27"/>
      <c r="R602" s="27"/>
      <c r="S602" s="27"/>
      <c r="T602" s="39"/>
    </row>
    <row r="603" spans="11:20" s="25" customFormat="1">
      <c r="K603" s="27"/>
      <c r="L603" s="27"/>
      <c r="M603" s="27"/>
      <c r="N603" s="27"/>
      <c r="O603" s="84"/>
      <c r="P603" s="27"/>
      <c r="Q603" s="27"/>
      <c r="R603" s="27"/>
      <c r="S603" s="27"/>
      <c r="T603" s="39"/>
    </row>
    <row r="604" spans="11:20" s="25" customFormat="1">
      <c r="K604" s="27"/>
      <c r="L604" s="27"/>
      <c r="M604" s="27"/>
      <c r="N604" s="27"/>
      <c r="O604" s="84"/>
      <c r="P604" s="27"/>
      <c r="Q604" s="27"/>
      <c r="R604" s="27"/>
      <c r="S604" s="27"/>
      <c r="T604" s="39"/>
    </row>
    <row r="605" spans="11:20" s="25" customFormat="1">
      <c r="K605" s="27"/>
      <c r="L605" s="27"/>
      <c r="M605" s="27"/>
      <c r="N605" s="27"/>
      <c r="O605" s="84"/>
      <c r="P605" s="27"/>
      <c r="Q605" s="27"/>
      <c r="R605" s="27"/>
      <c r="S605" s="27"/>
      <c r="T605" s="39"/>
    </row>
    <row r="606" spans="11:20" s="25" customFormat="1">
      <c r="K606" s="27"/>
      <c r="L606" s="27"/>
      <c r="M606" s="27"/>
      <c r="N606" s="27"/>
      <c r="O606" s="84"/>
      <c r="P606" s="27"/>
      <c r="Q606" s="27"/>
      <c r="R606" s="27"/>
      <c r="S606" s="27"/>
      <c r="T606" s="39"/>
    </row>
    <row r="607" spans="11:20" s="25" customFormat="1">
      <c r="K607" s="27"/>
      <c r="L607" s="27"/>
      <c r="M607" s="27"/>
      <c r="N607" s="27"/>
      <c r="O607" s="84"/>
      <c r="P607" s="27"/>
      <c r="Q607" s="27"/>
      <c r="R607" s="27"/>
      <c r="S607" s="27"/>
      <c r="T607" s="39"/>
    </row>
    <row r="608" spans="11:20" s="25" customFormat="1">
      <c r="K608" s="27"/>
      <c r="L608" s="27"/>
      <c r="M608" s="27"/>
      <c r="N608" s="27"/>
      <c r="O608" s="84"/>
      <c r="P608" s="27"/>
      <c r="Q608" s="27"/>
      <c r="R608" s="27"/>
      <c r="S608" s="27"/>
      <c r="T608" s="39"/>
    </row>
    <row r="609" spans="11:20" s="25" customFormat="1">
      <c r="K609" s="27"/>
      <c r="L609" s="27"/>
      <c r="M609" s="27"/>
      <c r="N609" s="27"/>
      <c r="O609" s="84"/>
      <c r="P609" s="27"/>
      <c r="Q609" s="27"/>
      <c r="R609" s="27"/>
      <c r="S609" s="27"/>
      <c r="T609" s="39"/>
    </row>
    <row r="610" spans="11:20" s="25" customFormat="1">
      <c r="K610" s="27"/>
      <c r="L610" s="27"/>
      <c r="M610" s="27"/>
      <c r="N610" s="27"/>
      <c r="O610" s="84"/>
      <c r="P610" s="27"/>
      <c r="Q610" s="27"/>
      <c r="R610" s="27"/>
      <c r="S610" s="27"/>
      <c r="T610" s="39"/>
    </row>
    <row r="611" spans="11:20" s="25" customFormat="1">
      <c r="K611" s="27"/>
      <c r="L611" s="27"/>
      <c r="M611" s="27"/>
      <c r="N611" s="27"/>
      <c r="O611" s="84"/>
      <c r="P611" s="27"/>
      <c r="Q611" s="27"/>
      <c r="R611" s="27"/>
      <c r="S611" s="27"/>
      <c r="T611" s="39"/>
    </row>
    <row r="612" spans="11:20" s="25" customFormat="1">
      <c r="K612" s="27"/>
      <c r="L612" s="27"/>
      <c r="M612" s="27"/>
      <c r="N612" s="27"/>
      <c r="O612" s="84"/>
      <c r="P612" s="27"/>
      <c r="Q612" s="27"/>
      <c r="R612" s="27"/>
      <c r="S612" s="27"/>
      <c r="T612" s="39"/>
    </row>
    <row r="613" spans="11:20" s="25" customFormat="1">
      <c r="K613" s="27"/>
      <c r="L613" s="27"/>
      <c r="M613" s="27"/>
      <c r="N613" s="27"/>
      <c r="O613" s="84"/>
      <c r="P613" s="27"/>
      <c r="Q613" s="27"/>
      <c r="R613" s="27"/>
      <c r="S613" s="27"/>
      <c r="T613" s="39"/>
    </row>
    <row r="614" spans="11:20" s="25" customFormat="1">
      <c r="K614" s="27"/>
      <c r="L614" s="27"/>
      <c r="M614" s="27"/>
      <c r="N614" s="27"/>
      <c r="O614" s="84"/>
      <c r="P614" s="27"/>
      <c r="Q614" s="27"/>
      <c r="R614" s="27"/>
      <c r="S614" s="27"/>
      <c r="T614" s="39"/>
    </row>
    <row r="615" spans="11:20" s="25" customFormat="1">
      <c r="K615" s="27"/>
      <c r="L615" s="27"/>
      <c r="M615" s="27"/>
      <c r="N615" s="27"/>
      <c r="O615" s="84"/>
      <c r="P615" s="27"/>
      <c r="Q615" s="27"/>
      <c r="R615" s="27"/>
      <c r="S615" s="27"/>
      <c r="T615" s="39"/>
    </row>
    <row r="616" spans="11:20" s="25" customFormat="1">
      <c r="K616" s="27"/>
      <c r="L616" s="27"/>
      <c r="M616" s="27"/>
      <c r="N616" s="27"/>
      <c r="O616" s="84"/>
      <c r="P616" s="27"/>
      <c r="Q616" s="27"/>
      <c r="R616" s="27"/>
      <c r="S616" s="27"/>
      <c r="T616" s="39"/>
    </row>
    <row r="617" spans="11:20" s="25" customFormat="1">
      <c r="K617" s="27"/>
      <c r="L617" s="27"/>
      <c r="M617" s="27"/>
      <c r="N617" s="27"/>
      <c r="O617" s="84"/>
      <c r="P617" s="27"/>
      <c r="Q617" s="27"/>
      <c r="R617" s="27"/>
      <c r="S617" s="27"/>
      <c r="T617" s="39"/>
    </row>
    <row r="618" spans="11:20" s="25" customFormat="1">
      <c r="K618" s="27"/>
      <c r="L618" s="27"/>
      <c r="M618" s="27"/>
      <c r="N618" s="27"/>
      <c r="O618" s="84"/>
      <c r="P618" s="27"/>
      <c r="Q618" s="27"/>
      <c r="R618" s="27"/>
      <c r="S618" s="27"/>
      <c r="T618" s="39"/>
    </row>
    <row r="619" spans="11:20" s="25" customFormat="1">
      <c r="K619" s="27"/>
      <c r="L619" s="27"/>
      <c r="M619" s="27"/>
      <c r="N619" s="27"/>
      <c r="O619" s="84"/>
      <c r="P619" s="27"/>
      <c r="Q619" s="27"/>
      <c r="R619" s="27"/>
      <c r="S619" s="27"/>
      <c r="T619" s="39"/>
    </row>
    <row r="620" spans="11:20" s="25" customFormat="1">
      <c r="K620" s="27"/>
      <c r="L620" s="27"/>
      <c r="M620" s="27"/>
      <c r="N620" s="27"/>
      <c r="O620" s="84"/>
      <c r="P620" s="27"/>
      <c r="Q620" s="27"/>
      <c r="R620" s="27"/>
      <c r="S620" s="27"/>
      <c r="T620" s="39"/>
    </row>
    <row r="621" spans="11:20" s="25" customFormat="1">
      <c r="K621" s="27"/>
      <c r="L621" s="27"/>
      <c r="M621" s="27"/>
      <c r="N621" s="27"/>
      <c r="O621" s="84"/>
      <c r="P621" s="27"/>
      <c r="Q621" s="27"/>
      <c r="R621" s="27"/>
      <c r="S621" s="27"/>
      <c r="T621" s="39"/>
    </row>
    <row r="622" spans="11:20" s="25" customFormat="1">
      <c r="K622" s="27"/>
      <c r="L622" s="27"/>
      <c r="M622" s="27"/>
      <c r="N622" s="27"/>
      <c r="O622" s="84"/>
      <c r="P622" s="27"/>
      <c r="Q622" s="27"/>
      <c r="R622" s="27"/>
      <c r="S622" s="27"/>
      <c r="T622" s="39"/>
    </row>
    <row r="623" spans="11:20" s="25" customFormat="1">
      <c r="K623" s="27"/>
      <c r="L623" s="27"/>
      <c r="M623" s="27"/>
      <c r="N623" s="27"/>
      <c r="O623" s="84"/>
      <c r="P623" s="27"/>
      <c r="Q623" s="27"/>
      <c r="R623" s="27"/>
      <c r="S623" s="27"/>
      <c r="T623" s="39"/>
    </row>
    <row r="624" spans="11:20" s="25" customFormat="1">
      <c r="K624" s="27"/>
      <c r="L624" s="27"/>
      <c r="M624" s="27"/>
      <c r="N624" s="27"/>
      <c r="O624" s="84"/>
      <c r="P624" s="27"/>
      <c r="Q624" s="27"/>
      <c r="R624" s="27"/>
      <c r="S624" s="27"/>
      <c r="T624" s="39"/>
    </row>
    <row r="625" spans="11:20" s="25" customFormat="1">
      <c r="K625" s="27"/>
      <c r="L625" s="27"/>
      <c r="M625" s="27"/>
      <c r="N625" s="27"/>
      <c r="O625" s="84"/>
      <c r="P625" s="27"/>
      <c r="Q625" s="27"/>
      <c r="R625" s="27"/>
      <c r="S625" s="27"/>
      <c r="T625" s="39"/>
    </row>
    <row r="626" spans="11:20" s="25" customFormat="1">
      <c r="K626" s="27"/>
      <c r="L626" s="27"/>
      <c r="M626" s="27"/>
      <c r="N626" s="27"/>
      <c r="O626" s="84"/>
      <c r="P626" s="27"/>
      <c r="Q626" s="27"/>
      <c r="R626" s="27"/>
      <c r="S626" s="27"/>
      <c r="T626" s="39"/>
    </row>
    <row r="627" spans="11:20" s="25" customFormat="1">
      <c r="K627" s="27"/>
      <c r="L627" s="27"/>
      <c r="M627" s="27"/>
      <c r="N627" s="27"/>
      <c r="O627" s="84"/>
      <c r="P627" s="27"/>
      <c r="Q627" s="27"/>
      <c r="R627" s="27"/>
      <c r="S627" s="27"/>
      <c r="T627" s="39"/>
    </row>
    <row r="628" spans="11:20" s="25" customFormat="1">
      <c r="K628" s="27"/>
      <c r="L628" s="27"/>
      <c r="M628" s="27"/>
      <c r="N628" s="27"/>
      <c r="O628" s="84"/>
      <c r="P628" s="27"/>
      <c r="Q628" s="27"/>
      <c r="R628" s="27"/>
      <c r="S628" s="27"/>
      <c r="T628" s="39"/>
    </row>
    <row r="629" spans="11:20" s="25" customFormat="1">
      <c r="K629" s="27"/>
      <c r="L629" s="27"/>
      <c r="M629" s="27"/>
      <c r="N629" s="27"/>
      <c r="O629" s="84"/>
      <c r="P629" s="27"/>
      <c r="Q629" s="27"/>
      <c r="R629" s="27"/>
      <c r="S629" s="27"/>
      <c r="T629" s="39"/>
    </row>
    <row r="630" spans="11:20" s="25" customFormat="1">
      <c r="K630" s="27"/>
      <c r="L630" s="27"/>
      <c r="M630" s="27"/>
      <c r="N630" s="27"/>
      <c r="O630" s="84"/>
      <c r="P630" s="27"/>
      <c r="Q630" s="27"/>
      <c r="R630" s="27"/>
      <c r="S630" s="27"/>
      <c r="T630" s="39"/>
    </row>
    <row r="631" spans="11:20" s="25" customFormat="1">
      <c r="K631" s="27"/>
      <c r="L631" s="27"/>
      <c r="M631" s="27"/>
      <c r="N631" s="27"/>
      <c r="O631" s="84"/>
      <c r="P631" s="27"/>
      <c r="Q631" s="27"/>
      <c r="R631" s="27"/>
      <c r="S631" s="27"/>
      <c r="T631" s="39"/>
    </row>
    <row r="632" spans="11:20" s="25" customFormat="1">
      <c r="K632" s="27"/>
      <c r="L632" s="27"/>
      <c r="M632" s="27"/>
      <c r="N632" s="27"/>
      <c r="O632" s="84"/>
      <c r="P632" s="27"/>
      <c r="Q632" s="27"/>
      <c r="R632" s="27"/>
      <c r="S632" s="27"/>
      <c r="T632" s="39"/>
    </row>
    <row r="633" spans="11:20" s="25" customFormat="1">
      <c r="K633" s="27"/>
      <c r="L633" s="27"/>
      <c r="M633" s="27"/>
      <c r="N633" s="27"/>
      <c r="O633" s="84"/>
      <c r="P633" s="27"/>
      <c r="Q633" s="27"/>
      <c r="R633" s="27"/>
      <c r="S633" s="27"/>
      <c r="T633" s="39"/>
    </row>
    <row r="634" spans="11:20" s="25" customFormat="1">
      <c r="K634" s="27"/>
      <c r="L634" s="27"/>
      <c r="M634" s="27"/>
      <c r="N634" s="27"/>
      <c r="O634" s="84"/>
      <c r="P634" s="27"/>
      <c r="Q634" s="27"/>
      <c r="R634" s="27"/>
      <c r="S634" s="27"/>
      <c r="T634" s="39"/>
    </row>
    <row r="635" spans="11:20" s="25" customFormat="1">
      <c r="K635" s="27"/>
      <c r="L635" s="27"/>
      <c r="M635" s="27"/>
      <c r="N635" s="27"/>
      <c r="O635" s="84"/>
      <c r="P635" s="27"/>
      <c r="Q635" s="27"/>
      <c r="R635" s="27"/>
      <c r="S635" s="27"/>
      <c r="T635" s="39"/>
    </row>
    <row r="636" spans="11:20" s="25" customFormat="1">
      <c r="K636" s="27"/>
      <c r="L636" s="27"/>
      <c r="M636" s="27"/>
      <c r="N636" s="27"/>
      <c r="O636" s="84"/>
      <c r="P636" s="27"/>
      <c r="Q636" s="27"/>
      <c r="R636" s="27"/>
      <c r="S636" s="27"/>
      <c r="T636" s="39"/>
    </row>
    <row r="637" spans="11:20" s="25" customFormat="1">
      <c r="K637" s="27"/>
      <c r="L637" s="27"/>
      <c r="M637" s="27"/>
      <c r="N637" s="27"/>
      <c r="O637" s="84"/>
      <c r="P637" s="27"/>
      <c r="Q637" s="27"/>
      <c r="R637" s="27"/>
      <c r="S637" s="27"/>
      <c r="T637" s="39"/>
    </row>
    <row r="638" spans="11:20" s="25" customFormat="1">
      <c r="K638" s="27"/>
      <c r="L638" s="27"/>
      <c r="M638" s="27"/>
      <c r="N638" s="27"/>
      <c r="O638" s="84"/>
      <c r="P638" s="27"/>
      <c r="Q638" s="27"/>
      <c r="R638" s="27"/>
      <c r="S638" s="27"/>
      <c r="T638" s="39"/>
    </row>
    <row r="639" spans="11:20" s="25" customFormat="1">
      <c r="K639" s="27"/>
      <c r="L639" s="27"/>
      <c r="M639" s="27"/>
      <c r="N639" s="27"/>
      <c r="O639" s="84"/>
      <c r="P639" s="27"/>
      <c r="Q639" s="27"/>
      <c r="R639" s="27"/>
      <c r="S639" s="27"/>
      <c r="T639" s="39"/>
    </row>
    <row r="640" spans="11:20" s="25" customFormat="1">
      <c r="K640" s="27"/>
      <c r="L640" s="27"/>
      <c r="M640" s="27"/>
      <c r="N640" s="27"/>
      <c r="O640" s="84"/>
      <c r="P640" s="27"/>
      <c r="Q640" s="27"/>
      <c r="R640" s="27"/>
      <c r="S640" s="27"/>
      <c r="T640" s="39"/>
    </row>
    <row r="641" spans="11:20" s="25" customFormat="1">
      <c r="K641" s="27"/>
      <c r="L641" s="27"/>
      <c r="M641" s="27"/>
      <c r="N641" s="27"/>
      <c r="O641" s="84"/>
      <c r="P641" s="27"/>
      <c r="Q641" s="27"/>
      <c r="R641" s="27"/>
      <c r="S641" s="27"/>
      <c r="T641" s="39"/>
    </row>
    <row r="642" spans="11:20" s="25" customFormat="1">
      <c r="K642" s="27"/>
      <c r="L642" s="27"/>
      <c r="M642" s="27"/>
      <c r="N642" s="27"/>
      <c r="O642" s="84"/>
      <c r="P642" s="27"/>
      <c r="Q642" s="27"/>
      <c r="R642" s="27"/>
      <c r="S642" s="27"/>
      <c r="T642" s="39"/>
    </row>
    <row r="643" spans="11:20" s="25" customFormat="1">
      <c r="K643" s="27"/>
      <c r="L643" s="27"/>
      <c r="M643" s="27"/>
      <c r="N643" s="27"/>
      <c r="O643" s="84"/>
      <c r="P643" s="27"/>
      <c r="Q643" s="27"/>
      <c r="R643" s="27"/>
      <c r="S643" s="27"/>
      <c r="T643" s="39"/>
    </row>
    <row r="644" spans="11:20" s="25" customFormat="1">
      <c r="K644" s="27"/>
      <c r="L644" s="27"/>
      <c r="M644" s="27"/>
      <c r="N644" s="27"/>
      <c r="O644" s="84"/>
      <c r="P644" s="27"/>
      <c r="Q644" s="27"/>
      <c r="R644" s="27"/>
      <c r="S644" s="27"/>
      <c r="T644" s="39"/>
    </row>
    <row r="645" spans="11:20" s="25" customFormat="1">
      <c r="K645" s="27"/>
      <c r="L645" s="27"/>
      <c r="M645" s="27"/>
      <c r="N645" s="27"/>
      <c r="O645" s="84"/>
      <c r="P645" s="27"/>
      <c r="Q645" s="27"/>
      <c r="R645" s="27"/>
      <c r="S645" s="27"/>
      <c r="T645" s="39"/>
    </row>
    <row r="646" spans="11:20" s="25" customFormat="1">
      <c r="K646" s="27"/>
      <c r="L646" s="27"/>
      <c r="M646" s="27"/>
      <c r="N646" s="27"/>
      <c r="O646" s="84"/>
      <c r="P646" s="27"/>
      <c r="Q646" s="27"/>
      <c r="R646" s="27"/>
      <c r="S646" s="27"/>
      <c r="T646" s="39"/>
    </row>
    <row r="647" spans="11:20" s="25" customFormat="1">
      <c r="K647" s="27"/>
      <c r="L647" s="27"/>
      <c r="M647" s="27"/>
      <c r="N647" s="27"/>
      <c r="O647" s="84"/>
      <c r="P647" s="27"/>
      <c r="Q647" s="27"/>
      <c r="R647" s="27"/>
      <c r="S647" s="27"/>
      <c r="T647" s="39"/>
    </row>
    <row r="648" spans="11:20" s="25" customFormat="1">
      <c r="K648" s="27"/>
      <c r="L648" s="27"/>
      <c r="M648" s="27"/>
      <c r="N648" s="27"/>
      <c r="O648" s="84"/>
      <c r="P648" s="27"/>
      <c r="Q648" s="27"/>
      <c r="R648" s="27"/>
      <c r="S648" s="27"/>
      <c r="T648" s="39"/>
    </row>
    <row r="649" spans="11:20" s="25" customFormat="1">
      <c r="K649" s="27"/>
      <c r="L649" s="27"/>
      <c r="M649" s="27"/>
      <c r="N649" s="27"/>
      <c r="O649" s="84"/>
      <c r="P649" s="27"/>
      <c r="Q649" s="27"/>
      <c r="R649" s="27"/>
      <c r="S649" s="27"/>
      <c r="T649" s="39"/>
    </row>
    <row r="650" spans="11:20" s="25" customFormat="1">
      <c r="K650" s="27"/>
      <c r="L650" s="27"/>
      <c r="M650" s="27"/>
      <c r="N650" s="27"/>
      <c r="O650" s="84"/>
      <c r="P650" s="27"/>
      <c r="Q650" s="27"/>
      <c r="R650" s="27"/>
      <c r="S650" s="27"/>
      <c r="T650" s="39"/>
    </row>
    <row r="651" spans="11:20" s="25" customFormat="1">
      <c r="K651" s="27"/>
      <c r="L651" s="27"/>
      <c r="M651" s="27"/>
      <c r="N651" s="27"/>
      <c r="O651" s="84"/>
      <c r="P651" s="27"/>
      <c r="Q651" s="27"/>
      <c r="R651" s="27"/>
      <c r="S651" s="27"/>
      <c r="T651" s="39"/>
    </row>
    <row r="652" spans="11:20" s="25" customFormat="1">
      <c r="K652" s="27"/>
      <c r="L652" s="27"/>
      <c r="M652" s="27"/>
      <c r="N652" s="27"/>
      <c r="O652" s="84"/>
      <c r="P652" s="27"/>
      <c r="Q652" s="27"/>
      <c r="R652" s="27"/>
      <c r="S652" s="27"/>
      <c r="T652" s="39"/>
    </row>
    <row r="653" spans="11:20" s="25" customFormat="1">
      <c r="K653" s="27"/>
      <c r="L653" s="27"/>
      <c r="M653" s="27"/>
      <c r="N653" s="27"/>
      <c r="O653" s="84"/>
      <c r="P653" s="27"/>
      <c r="Q653" s="27"/>
      <c r="R653" s="27"/>
      <c r="S653" s="27"/>
      <c r="T653" s="39"/>
    </row>
    <row r="654" spans="11:20" s="25" customFormat="1">
      <c r="K654" s="27"/>
      <c r="L654" s="27"/>
      <c r="M654" s="27"/>
      <c r="N654" s="27"/>
      <c r="O654" s="84"/>
      <c r="P654" s="27"/>
      <c r="Q654" s="27"/>
      <c r="R654" s="27"/>
      <c r="S654" s="27"/>
      <c r="T654" s="39"/>
    </row>
    <row r="655" spans="11:20" s="25" customFormat="1">
      <c r="K655" s="27"/>
      <c r="L655" s="27"/>
      <c r="M655" s="27"/>
      <c r="N655" s="27"/>
      <c r="O655" s="84"/>
      <c r="P655" s="27"/>
      <c r="Q655" s="27"/>
      <c r="R655" s="27"/>
      <c r="S655" s="27"/>
      <c r="T655" s="39"/>
    </row>
    <row r="656" spans="11:20" s="25" customFormat="1">
      <c r="K656" s="27"/>
      <c r="L656" s="27"/>
      <c r="M656" s="27"/>
      <c r="N656" s="27"/>
      <c r="O656" s="84"/>
      <c r="P656" s="27"/>
      <c r="Q656" s="27"/>
      <c r="R656" s="27"/>
      <c r="S656" s="27"/>
      <c r="T656" s="39"/>
    </row>
    <row r="657" spans="11:20" s="25" customFormat="1">
      <c r="K657" s="27"/>
      <c r="L657" s="27"/>
      <c r="M657" s="27"/>
      <c r="N657" s="27"/>
      <c r="O657" s="84"/>
      <c r="P657" s="27"/>
      <c r="Q657" s="27"/>
      <c r="R657" s="27"/>
      <c r="S657" s="27"/>
      <c r="T657" s="39"/>
    </row>
    <row r="658" spans="11:20" s="25" customFormat="1">
      <c r="K658" s="27"/>
      <c r="L658" s="27"/>
      <c r="M658" s="27"/>
      <c r="N658" s="27"/>
      <c r="O658" s="84"/>
      <c r="P658" s="27"/>
      <c r="Q658" s="27"/>
      <c r="R658" s="27"/>
      <c r="S658" s="27"/>
      <c r="T658" s="39"/>
    </row>
    <row r="659" spans="11:20" s="25" customFormat="1">
      <c r="K659" s="27"/>
      <c r="L659" s="27"/>
      <c r="M659" s="27"/>
      <c r="N659" s="27"/>
      <c r="O659" s="84"/>
      <c r="P659" s="27"/>
      <c r="Q659" s="27"/>
      <c r="R659" s="27"/>
      <c r="S659" s="27"/>
      <c r="T659" s="39"/>
    </row>
    <row r="660" spans="11:20" s="25" customFormat="1">
      <c r="K660" s="27"/>
      <c r="L660" s="27"/>
      <c r="M660" s="27"/>
      <c r="N660" s="27"/>
      <c r="O660" s="84"/>
      <c r="P660" s="27"/>
      <c r="Q660" s="27"/>
      <c r="R660" s="27"/>
      <c r="S660" s="27"/>
      <c r="T660" s="39"/>
    </row>
    <row r="661" spans="11:20" s="25" customFormat="1">
      <c r="K661" s="27"/>
      <c r="L661" s="27"/>
      <c r="M661" s="27"/>
      <c r="N661" s="27"/>
      <c r="O661" s="84"/>
      <c r="P661" s="27"/>
      <c r="Q661" s="27"/>
      <c r="R661" s="27"/>
      <c r="S661" s="27"/>
      <c r="T661" s="39"/>
    </row>
    <row r="662" spans="11:20" s="25" customFormat="1">
      <c r="K662" s="27"/>
      <c r="L662" s="27"/>
      <c r="M662" s="27"/>
      <c r="N662" s="27"/>
      <c r="O662" s="84"/>
      <c r="P662" s="27"/>
      <c r="Q662" s="27"/>
      <c r="R662" s="27"/>
      <c r="S662" s="27"/>
      <c r="T662" s="39"/>
    </row>
    <row r="663" spans="11:20" s="25" customFormat="1">
      <c r="K663" s="27"/>
      <c r="L663" s="27"/>
      <c r="M663" s="27"/>
      <c r="N663" s="27"/>
      <c r="O663" s="84"/>
      <c r="P663" s="27"/>
      <c r="Q663" s="27"/>
      <c r="R663" s="27"/>
      <c r="S663" s="27"/>
      <c r="T663" s="39"/>
    </row>
    <row r="664" spans="11:20" s="25" customFormat="1">
      <c r="K664" s="27"/>
      <c r="L664" s="27"/>
      <c r="M664" s="27"/>
      <c r="N664" s="27"/>
      <c r="O664" s="84"/>
      <c r="P664" s="27"/>
      <c r="Q664" s="27"/>
      <c r="R664" s="27"/>
      <c r="S664" s="27"/>
      <c r="T664" s="39"/>
    </row>
    <row r="665" spans="11:20" s="25" customFormat="1">
      <c r="K665" s="27"/>
      <c r="L665" s="27"/>
      <c r="M665" s="27"/>
      <c r="N665" s="27"/>
      <c r="O665" s="84"/>
      <c r="P665" s="27"/>
      <c r="Q665" s="27"/>
      <c r="R665" s="27"/>
      <c r="S665" s="27"/>
      <c r="T665" s="39"/>
    </row>
    <row r="666" spans="11:20" s="25" customFormat="1">
      <c r="K666" s="27"/>
      <c r="L666" s="27"/>
      <c r="M666" s="27"/>
      <c r="N666" s="27"/>
      <c r="O666" s="84"/>
      <c r="P666" s="27"/>
      <c r="Q666" s="27"/>
      <c r="R666" s="27"/>
      <c r="S666" s="27"/>
      <c r="T666" s="39"/>
    </row>
    <row r="667" spans="11:20" s="25" customFormat="1">
      <c r="K667" s="27"/>
      <c r="L667" s="27"/>
      <c r="M667" s="27"/>
      <c r="N667" s="27"/>
      <c r="O667" s="84"/>
      <c r="P667" s="27"/>
      <c r="Q667" s="27"/>
      <c r="R667" s="27"/>
      <c r="S667" s="27"/>
      <c r="T667" s="39"/>
    </row>
    <row r="668" spans="11:20" s="25" customFormat="1">
      <c r="K668" s="27"/>
      <c r="L668" s="27"/>
      <c r="M668" s="27"/>
      <c r="N668" s="27"/>
      <c r="O668" s="84"/>
      <c r="P668" s="27"/>
      <c r="Q668" s="27"/>
      <c r="R668" s="27"/>
      <c r="S668" s="27"/>
      <c r="T668" s="39"/>
    </row>
    <row r="669" spans="11:20" s="25" customFormat="1">
      <c r="K669" s="27"/>
      <c r="L669" s="27"/>
      <c r="M669" s="27"/>
      <c r="N669" s="27"/>
      <c r="O669" s="84"/>
      <c r="P669" s="27"/>
      <c r="Q669" s="27"/>
      <c r="R669" s="27"/>
      <c r="S669" s="27"/>
      <c r="T669" s="39"/>
    </row>
    <row r="670" spans="11:20" s="25" customFormat="1">
      <c r="K670" s="27"/>
      <c r="L670" s="27"/>
      <c r="M670" s="27"/>
      <c r="N670" s="27"/>
      <c r="O670" s="84"/>
      <c r="P670" s="27"/>
      <c r="Q670" s="27"/>
      <c r="R670" s="27"/>
      <c r="S670" s="27"/>
      <c r="T670" s="39"/>
    </row>
    <row r="671" spans="11:20" s="25" customFormat="1">
      <c r="K671" s="27"/>
      <c r="L671" s="27"/>
      <c r="M671" s="27"/>
      <c r="N671" s="27"/>
      <c r="O671" s="84"/>
      <c r="P671" s="27"/>
      <c r="Q671" s="27"/>
      <c r="R671" s="27"/>
      <c r="S671" s="27"/>
      <c r="T671" s="39"/>
    </row>
    <row r="672" spans="11:20" s="25" customFormat="1">
      <c r="K672" s="27"/>
      <c r="L672" s="27"/>
      <c r="M672" s="27"/>
      <c r="N672" s="27"/>
      <c r="O672" s="84"/>
      <c r="P672" s="27"/>
      <c r="Q672" s="27"/>
      <c r="R672" s="27"/>
      <c r="S672" s="27"/>
      <c r="T672" s="39"/>
    </row>
    <row r="673" spans="11:20" s="25" customFormat="1">
      <c r="K673" s="27"/>
      <c r="L673" s="27"/>
      <c r="M673" s="27"/>
      <c r="N673" s="27"/>
      <c r="O673" s="84"/>
      <c r="P673" s="27"/>
      <c r="Q673" s="27"/>
      <c r="R673" s="27"/>
      <c r="S673" s="27"/>
      <c r="T673" s="39"/>
    </row>
    <row r="674" spans="11:20" s="25" customFormat="1">
      <c r="K674" s="27"/>
      <c r="L674" s="27"/>
      <c r="M674" s="27"/>
      <c r="N674" s="27"/>
      <c r="O674" s="84"/>
      <c r="P674" s="27"/>
      <c r="Q674" s="27"/>
      <c r="R674" s="27"/>
      <c r="S674" s="27"/>
      <c r="T674" s="39"/>
    </row>
    <row r="675" spans="11:20" s="25" customFormat="1">
      <c r="K675" s="27"/>
      <c r="L675" s="27"/>
      <c r="M675" s="27"/>
      <c r="N675" s="27"/>
      <c r="O675" s="84"/>
      <c r="P675" s="27"/>
      <c r="Q675" s="27"/>
      <c r="R675" s="27"/>
      <c r="S675" s="27"/>
      <c r="T675" s="39"/>
    </row>
    <row r="676" spans="11:20" s="25" customFormat="1">
      <c r="K676" s="27"/>
      <c r="L676" s="27"/>
      <c r="M676" s="27"/>
      <c r="N676" s="27"/>
      <c r="O676" s="84"/>
      <c r="P676" s="27"/>
      <c r="Q676" s="27"/>
      <c r="R676" s="27"/>
      <c r="S676" s="27"/>
      <c r="T676" s="39"/>
    </row>
    <row r="677" spans="11:20" s="25" customFormat="1">
      <c r="K677" s="27"/>
      <c r="L677" s="27"/>
      <c r="M677" s="27"/>
      <c r="N677" s="27"/>
      <c r="O677" s="84"/>
      <c r="P677" s="27"/>
      <c r="Q677" s="27"/>
      <c r="R677" s="27"/>
      <c r="S677" s="27"/>
      <c r="T677" s="39"/>
    </row>
    <row r="678" spans="11:20" s="25" customFormat="1">
      <c r="K678" s="27"/>
      <c r="L678" s="27"/>
      <c r="M678" s="27"/>
      <c r="N678" s="27"/>
      <c r="O678" s="84"/>
      <c r="P678" s="27"/>
      <c r="Q678" s="27"/>
      <c r="R678" s="27"/>
      <c r="S678" s="27"/>
      <c r="T678" s="39"/>
    </row>
    <row r="679" spans="11:20" s="25" customFormat="1">
      <c r="K679" s="27"/>
      <c r="L679" s="27"/>
      <c r="M679" s="27"/>
      <c r="N679" s="27"/>
      <c r="O679" s="84"/>
      <c r="P679" s="27"/>
      <c r="Q679" s="27"/>
      <c r="R679" s="27"/>
      <c r="S679" s="27"/>
      <c r="T679" s="39"/>
    </row>
    <row r="680" spans="11:20" s="25" customFormat="1">
      <c r="K680" s="27"/>
      <c r="L680" s="27"/>
      <c r="M680" s="27"/>
      <c r="N680" s="27"/>
      <c r="O680" s="84"/>
      <c r="P680" s="27"/>
      <c r="Q680" s="27"/>
      <c r="R680" s="27"/>
      <c r="S680" s="27"/>
      <c r="T680" s="39"/>
    </row>
    <row r="681" spans="11:20" s="25" customFormat="1">
      <c r="K681" s="27"/>
      <c r="L681" s="27"/>
      <c r="M681" s="27"/>
      <c r="N681" s="27"/>
      <c r="O681" s="84"/>
      <c r="P681" s="27"/>
      <c r="Q681" s="27"/>
      <c r="R681" s="27"/>
      <c r="S681" s="27"/>
      <c r="T681" s="39"/>
    </row>
    <row r="682" spans="11:20" s="25" customFormat="1">
      <c r="K682" s="27"/>
      <c r="L682" s="27"/>
      <c r="M682" s="27"/>
      <c r="N682" s="27"/>
      <c r="O682" s="84"/>
      <c r="P682" s="27"/>
      <c r="Q682" s="27"/>
      <c r="R682" s="27"/>
      <c r="S682" s="27"/>
      <c r="T682" s="39"/>
    </row>
    <row r="683" spans="11:20" s="25" customFormat="1">
      <c r="K683" s="27"/>
      <c r="L683" s="27"/>
      <c r="M683" s="27"/>
      <c r="N683" s="27"/>
      <c r="O683" s="84"/>
      <c r="P683" s="27"/>
      <c r="Q683" s="27"/>
      <c r="R683" s="27"/>
      <c r="S683" s="27"/>
      <c r="T683" s="39"/>
    </row>
    <row r="684" spans="11:20" s="25" customFormat="1">
      <c r="K684" s="27"/>
      <c r="L684" s="27"/>
      <c r="M684" s="27"/>
      <c r="N684" s="27"/>
      <c r="O684" s="84"/>
      <c r="P684" s="27"/>
      <c r="Q684" s="27"/>
      <c r="R684" s="27"/>
      <c r="S684" s="27"/>
      <c r="T684" s="39"/>
    </row>
    <row r="685" spans="11:20" s="25" customFormat="1">
      <c r="K685" s="27"/>
      <c r="L685" s="27"/>
      <c r="M685" s="27"/>
      <c r="N685" s="27"/>
      <c r="O685" s="84"/>
      <c r="P685" s="27"/>
      <c r="Q685" s="27"/>
      <c r="R685" s="27"/>
      <c r="S685" s="27"/>
      <c r="T685" s="39"/>
    </row>
    <row r="686" spans="11:20" s="25" customFormat="1">
      <c r="K686" s="27"/>
      <c r="L686" s="27"/>
      <c r="M686" s="27"/>
      <c r="N686" s="27"/>
      <c r="O686" s="84"/>
      <c r="P686" s="27"/>
      <c r="Q686" s="27"/>
      <c r="R686" s="27"/>
      <c r="S686" s="27"/>
      <c r="T686" s="39"/>
    </row>
    <row r="687" spans="11:20" s="25" customFormat="1">
      <c r="K687" s="27"/>
      <c r="L687" s="27"/>
      <c r="M687" s="27"/>
      <c r="N687" s="27"/>
      <c r="O687" s="84"/>
      <c r="P687" s="27"/>
      <c r="Q687" s="27"/>
      <c r="R687" s="27"/>
      <c r="S687" s="27"/>
      <c r="T687" s="39"/>
    </row>
    <row r="688" spans="11:20" s="25" customFormat="1">
      <c r="K688" s="27"/>
      <c r="L688" s="27"/>
      <c r="M688" s="27"/>
      <c r="N688" s="27"/>
      <c r="O688" s="84"/>
      <c r="P688" s="27"/>
      <c r="Q688" s="27"/>
      <c r="R688" s="27"/>
      <c r="S688" s="27"/>
      <c r="T688" s="39"/>
    </row>
    <row r="689" spans="11:20" s="25" customFormat="1">
      <c r="K689" s="27"/>
      <c r="L689" s="27"/>
      <c r="M689" s="27"/>
      <c r="N689" s="27"/>
      <c r="O689" s="84"/>
      <c r="P689" s="27"/>
      <c r="Q689" s="27"/>
      <c r="R689" s="27"/>
      <c r="S689" s="27"/>
      <c r="T689" s="39"/>
    </row>
    <row r="690" spans="11:20" s="25" customFormat="1">
      <c r="K690" s="27"/>
      <c r="L690" s="27"/>
      <c r="M690" s="27"/>
      <c r="N690" s="27"/>
      <c r="O690" s="84"/>
      <c r="P690" s="27"/>
      <c r="Q690" s="27"/>
      <c r="R690" s="27"/>
      <c r="S690" s="27"/>
      <c r="T690" s="39"/>
    </row>
    <row r="691" spans="11:20" s="25" customFormat="1">
      <c r="K691" s="27"/>
      <c r="L691" s="27"/>
      <c r="M691" s="27"/>
      <c r="N691" s="27"/>
      <c r="O691" s="84"/>
      <c r="P691" s="27"/>
      <c r="Q691" s="27"/>
      <c r="R691" s="27"/>
      <c r="S691" s="27"/>
      <c r="T691" s="39"/>
    </row>
    <row r="692" spans="11:20" s="25" customFormat="1">
      <c r="K692" s="27"/>
      <c r="L692" s="27"/>
      <c r="M692" s="27"/>
      <c r="N692" s="27"/>
      <c r="O692" s="84"/>
      <c r="P692" s="27"/>
      <c r="Q692" s="27"/>
      <c r="R692" s="27"/>
      <c r="S692" s="27"/>
      <c r="T692" s="39"/>
    </row>
    <row r="693" spans="11:20" s="25" customFormat="1">
      <c r="K693" s="27"/>
      <c r="L693" s="27"/>
      <c r="M693" s="27"/>
      <c r="N693" s="27"/>
      <c r="O693" s="84"/>
      <c r="P693" s="27"/>
      <c r="Q693" s="27"/>
      <c r="R693" s="27"/>
      <c r="S693" s="27"/>
      <c r="T693" s="39"/>
    </row>
    <row r="694" spans="11:20" s="25" customFormat="1">
      <c r="K694" s="27"/>
      <c r="L694" s="27"/>
      <c r="M694" s="27"/>
      <c r="N694" s="27"/>
      <c r="O694" s="84"/>
      <c r="P694" s="27"/>
      <c r="Q694" s="27"/>
      <c r="R694" s="27"/>
      <c r="S694" s="27"/>
      <c r="T694" s="39"/>
    </row>
    <row r="695" spans="11:20" s="25" customFormat="1">
      <c r="K695" s="27"/>
      <c r="L695" s="27"/>
      <c r="M695" s="27"/>
      <c r="N695" s="27"/>
      <c r="O695" s="84"/>
      <c r="P695" s="27"/>
      <c r="Q695" s="27"/>
      <c r="R695" s="27"/>
      <c r="S695" s="27"/>
      <c r="T695" s="39"/>
    </row>
    <row r="696" spans="11:20" s="25" customFormat="1">
      <c r="K696" s="27"/>
      <c r="L696" s="27"/>
      <c r="M696" s="27"/>
      <c r="N696" s="27"/>
      <c r="O696" s="84"/>
      <c r="P696" s="27"/>
      <c r="Q696" s="27"/>
      <c r="R696" s="27"/>
      <c r="S696" s="27"/>
      <c r="T696" s="39"/>
    </row>
    <row r="697" spans="11:20" s="25" customFormat="1">
      <c r="K697" s="27"/>
      <c r="L697" s="27"/>
      <c r="M697" s="27"/>
      <c r="N697" s="27"/>
      <c r="O697" s="84"/>
      <c r="P697" s="27"/>
      <c r="Q697" s="27"/>
      <c r="R697" s="27"/>
      <c r="S697" s="27"/>
      <c r="T697" s="39"/>
    </row>
    <row r="698" spans="11:20" s="25" customFormat="1">
      <c r="K698" s="27"/>
      <c r="L698" s="27"/>
      <c r="M698" s="27"/>
      <c r="N698" s="27"/>
      <c r="O698" s="84"/>
      <c r="P698" s="27"/>
      <c r="Q698" s="27"/>
      <c r="R698" s="27"/>
      <c r="S698" s="27"/>
      <c r="T698" s="39"/>
    </row>
    <row r="699" spans="11:20" s="25" customFormat="1">
      <c r="K699" s="27"/>
      <c r="L699" s="27"/>
      <c r="M699" s="27"/>
      <c r="N699" s="27"/>
      <c r="O699" s="84"/>
      <c r="P699" s="27"/>
      <c r="Q699" s="27"/>
      <c r="R699" s="27"/>
      <c r="S699" s="27"/>
      <c r="T699" s="39"/>
    </row>
    <row r="700" spans="11:20" s="25" customFormat="1">
      <c r="K700" s="27"/>
      <c r="L700" s="27"/>
      <c r="M700" s="27"/>
      <c r="N700" s="27"/>
      <c r="O700" s="84"/>
      <c r="P700" s="27"/>
      <c r="Q700" s="27"/>
      <c r="R700" s="27"/>
      <c r="S700" s="27"/>
      <c r="T700" s="39"/>
    </row>
    <row r="701" spans="11:20" s="25" customFormat="1">
      <c r="K701" s="27"/>
      <c r="L701" s="27"/>
      <c r="M701" s="27"/>
      <c r="N701" s="27"/>
      <c r="O701" s="84"/>
      <c r="P701" s="27"/>
      <c r="Q701" s="27"/>
      <c r="R701" s="27"/>
      <c r="S701" s="27"/>
      <c r="T701" s="39"/>
    </row>
    <row r="702" spans="11:20" s="25" customFormat="1">
      <c r="K702" s="27"/>
      <c r="L702" s="27"/>
      <c r="M702" s="27"/>
      <c r="N702" s="27"/>
      <c r="O702" s="84"/>
      <c r="P702" s="27"/>
      <c r="Q702" s="27"/>
      <c r="R702" s="27"/>
      <c r="S702" s="27"/>
      <c r="T702" s="39"/>
    </row>
    <row r="703" spans="11:20" s="25" customFormat="1">
      <c r="K703" s="27"/>
      <c r="L703" s="27"/>
      <c r="M703" s="27"/>
      <c r="N703" s="27"/>
      <c r="O703" s="84"/>
      <c r="P703" s="27"/>
      <c r="Q703" s="27"/>
      <c r="R703" s="27"/>
      <c r="S703" s="27"/>
      <c r="T703" s="39"/>
    </row>
    <row r="704" spans="11:20" s="25" customFormat="1">
      <c r="K704" s="27"/>
      <c r="L704" s="27"/>
      <c r="M704" s="27"/>
      <c r="N704" s="27"/>
      <c r="O704" s="84"/>
      <c r="P704" s="27"/>
      <c r="Q704" s="27"/>
      <c r="R704" s="27"/>
      <c r="S704" s="27"/>
      <c r="T704" s="39"/>
    </row>
    <row r="705" spans="11:20" s="25" customFormat="1">
      <c r="K705" s="27"/>
      <c r="L705" s="27"/>
      <c r="M705" s="27"/>
      <c r="N705" s="27"/>
      <c r="O705" s="84"/>
      <c r="P705" s="27"/>
      <c r="Q705" s="27"/>
      <c r="R705" s="27"/>
      <c r="S705" s="27"/>
      <c r="T705" s="39"/>
    </row>
    <row r="706" spans="11:20" s="25" customFormat="1">
      <c r="K706" s="27"/>
      <c r="L706" s="27"/>
      <c r="M706" s="27"/>
      <c r="N706" s="27"/>
      <c r="O706" s="84"/>
      <c r="P706" s="27"/>
      <c r="Q706" s="27"/>
      <c r="R706" s="27"/>
      <c r="S706" s="27"/>
      <c r="T706" s="39"/>
    </row>
    <row r="707" spans="11:20" s="25" customFormat="1">
      <c r="K707" s="27"/>
      <c r="L707" s="27"/>
      <c r="M707" s="27"/>
      <c r="N707" s="27"/>
      <c r="O707" s="84"/>
      <c r="P707" s="27"/>
      <c r="Q707" s="27"/>
      <c r="R707" s="27"/>
      <c r="S707" s="27"/>
      <c r="T707" s="39"/>
    </row>
    <row r="708" spans="11:20" s="25" customFormat="1">
      <c r="K708" s="27"/>
      <c r="L708" s="27"/>
      <c r="M708" s="27"/>
      <c r="N708" s="27"/>
      <c r="O708" s="84"/>
      <c r="P708" s="27"/>
      <c r="Q708" s="27"/>
      <c r="R708" s="27"/>
      <c r="S708" s="27"/>
      <c r="T708" s="39"/>
    </row>
    <row r="709" spans="11:20" s="25" customFormat="1">
      <c r="K709" s="27"/>
      <c r="L709" s="27"/>
      <c r="M709" s="27"/>
      <c r="N709" s="27"/>
      <c r="O709" s="84"/>
      <c r="P709" s="27"/>
      <c r="Q709" s="27"/>
      <c r="R709" s="27"/>
      <c r="S709" s="27"/>
      <c r="T709" s="39"/>
    </row>
    <row r="710" spans="11:20" s="25" customFormat="1">
      <c r="K710" s="27"/>
      <c r="L710" s="27"/>
      <c r="M710" s="27"/>
      <c r="N710" s="27"/>
      <c r="O710" s="84"/>
      <c r="P710" s="27"/>
      <c r="Q710" s="27"/>
      <c r="R710" s="27"/>
      <c r="S710" s="27"/>
      <c r="T710" s="39"/>
    </row>
    <row r="711" spans="11:20" s="25" customFormat="1">
      <c r="K711" s="27"/>
      <c r="L711" s="27"/>
      <c r="M711" s="27"/>
      <c r="N711" s="27"/>
      <c r="O711" s="84"/>
      <c r="P711" s="27"/>
      <c r="Q711" s="27"/>
      <c r="R711" s="27"/>
      <c r="S711" s="27"/>
      <c r="T711" s="39"/>
    </row>
    <row r="712" spans="11:20" s="25" customFormat="1">
      <c r="K712" s="27"/>
      <c r="L712" s="27"/>
      <c r="M712" s="27"/>
      <c r="N712" s="27"/>
      <c r="O712" s="84"/>
      <c r="P712" s="27"/>
      <c r="Q712" s="27"/>
      <c r="R712" s="27"/>
      <c r="S712" s="27"/>
      <c r="T712" s="39"/>
    </row>
    <row r="713" spans="11:20" s="25" customFormat="1">
      <c r="K713" s="27"/>
      <c r="L713" s="27"/>
      <c r="M713" s="27"/>
      <c r="N713" s="27"/>
      <c r="O713" s="84"/>
      <c r="P713" s="27"/>
      <c r="Q713" s="27"/>
      <c r="R713" s="27"/>
      <c r="S713" s="27"/>
      <c r="T713" s="39"/>
    </row>
    <row r="714" spans="11:20" s="25" customFormat="1">
      <c r="K714" s="27"/>
      <c r="L714" s="27"/>
      <c r="M714" s="27"/>
      <c r="N714" s="27"/>
      <c r="O714" s="84"/>
      <c r="P714" s="27"/>
      <c r="Q714" s="27"/>
      <c r="R714" s="27"/>
      <c r="S714" s="27"/>
      <c r="T714" s="39"/>
    </row>
    <row r="715" spans="11:20" s="25" customFormat="1">
      <c r="K715" s="27"/>
      <c r="L715" s="27"/>
      <c r="M715" s="27"/>
      <c r="N715" s="27"/>
      <c r="O715" s="84"/>
      <c r="P715" s="27"/>
      <c r="Q715" s="27"/>
      <c r="R715" s="27"/>
      <c r="S715" s="27"/>
      <c r="T715" s="39"/>
    </row>
    <row r="716" spans="11:20" s="25" customFormat="1">
      <c r="K716" s="27"/>
      <c r="L716" s="27"/>
      <c r="M716" s="27"/>
      <c r="N716" s="27"/>
      <c r="O716" s="84"/>
      <c r="P716" s="27"/>
      <c r="Q716" s="27"/>
      <c r="R716" s="27"/>
      <c r="S716" s="27"/>
      <c r="T716" s="39"/>
    </row>
    <row r="717" spans="11:20" s="25" customFormat="1">
      <c r="K717" s="27"/>
      <c r="L717" s="27"/>
      <c r="M717" s="27"/>
      <c r="N717" s="27"/>
      <c r="O717" s="84"/>
      <c r="P717" s="27"/>
      <c r="Q717" s="27"/>
      <c r="R717" s="27"/>
      <c r="S717" s="27"/>
      <c r="T717" s="39"/>
    </row>
    <row r="718" spans="11:20" s="25" customFormat="1">
      <c r="K718" s="27"/>
      <c r="L718" s="27"/>
      <c r="M718" s="27"/>
      <c r="N718" s="27"/>
      <c r="O718" s="84"/>
      <c r="P718" s="27"/>
      <c r="Q718" s="27"/>
      <c r="R718" s="27"/>
      <c r="S718" s="27"/>
      <c r="T718" s="39"/>
    </row>
    <row r="719" spans="11:20" s="25" customFormat="1">
      <c r="K719" s="27"/>
      <c r="L719" s="27"/>
      <c r="M719" s="27"/>
      <c r="N719" s="27"/>
      <c r="O719" s="84"/>
      <c r="P719" s="27"/>
      <c r="Q719" s="27"/>
      <c r="R719" s="27"/>
      <c r="S719" s="27"/>
      <c r="T719" s="39"/>
    </row>
    <row r="720" spans="11:20" s="25" customFormat="1">
      <c r="K720" s="27"/>
      <c r="L720" s="27"/>
      <c r="M720" s="27"/>
      <c r="N720" s="27"/>
      <c r="O720" s="84"/>
      <c r="P720" s="27"/>
      <c r="Q720" s="27"/>
      <c r="R720" s="27"/>
      <c r="S720" s="27"/>
      <c r="T720" s="39"/>
    </row>
    <row r="721" spans="11:20" s="25" customFormat="1">
      <c r="K721" s="27"/>
      <c r="L721" s="27"/>
      <c r="M721" s="27"/>
      <c r="N721" s="27"/>
      <c r="O721" s="84"/>
      <c r="P721" s="27"/>
      <c r="Q721" s="27"/>
      <c r="R721" s="27"/>
      <c r="S721" s="27"/>
      <c r="T721" s="39"/>
    </row>
    <row r="722" spans="11:20" s="25" customFormat="1">
      <c r="K722" s="27"/>
      <c r="L722" s="27"/>
      <c r="M722" s="27"/>
      <c r="N722" s="27"/>
      <c r="O722" s="84"/>
      <c r="P722" s="27"/>
      <c r="Q722" s="27"/>
      <c r="R722" s="27"/>
      <c r="S722" s="27"/>
      <c r="T722" s="39"/>
    </row>
    <row r="723" spans="11:20" s="25" customFormat="1">
      <c r="K723" s="27"/>
      <c r="L723" s="27"/>
      <c r="M723" s="27"/>
      <c r="N723" s="27"/>
      <c r="O723" s="84"/>
      <c r="P723" s="27"/>
      <c r="Q723" s="27"/>
      <c r="R723" s="27"/>
      <c r="S723" s="27"/>
      <c r="T723" s="39"/>
    </row>
    <row r="724" spans="11:20" s="25" customFormat="1">
      <c r="K724" s="27"/>
      <c r="L724" s="27"/>
      <c r="M724" s="27"/>
      <c r="N724" s="27"/>
      <c r="O724" s="84"/>
      <c r="P724" s="27"/>
      <c r="Q724" s="27"/>
      <c r="R724" s="27"/>
      <c r="S724" s="27"/>
      <c r="T724" s="39"/>
    </row>
    <row r="725" spans="11:20" s="25" customFormat="1">
      <c r="K725" s="27"/>
      <c r="L725" s="27"/>
      <c r="M725" s="27"/>
      <c r="N725" s="27"/>
      <c r="O725" s="84"/>
      <c r="P725" s="27"/>
      <c r="Q725" s="27"/>
      <c r="R725" s="27"/>
      <c r="S725" s="27"/>
      <c r="T725" s="39"/>
    </row>
    <row r="726" spans="11:20" s="25" customFormat="1">
      <c r="K726" s="27"/>
      <c r="L726" s="27"/>
      <c r="M726" s="27"/>
      <c r="N726" s="27"/>
      <c r="O726" s="84"/>
      <c r="P726" s="27"/>
      <c r="Q726" s="27"/>
      <c r="R726" s="27"/>
      <c r="S726" s="27"/>
      <c r="T726" s="39"/>
    </row>
    <row r="727" spans="11:20" s="25" customFormat="1">
      <c r="K727" s="27"/>
      <c r="L727" s="27"/>
      <c r="M727" s="27"/>
      <c r="N727" s="27"/>
      <c r="O727" s="84"/>
      <c r="P727" s="27"/>
      <c r="Q727" s="27"/>
      <c r="R727" s="27"/>
      <c r="S727" s="27"/>
      <c r="T727" s="39"/>
    </row>
    <row r="728" spans="11:20" s="25" customFormat="1">
      <c r="K728" s="27"/>
      <c r="L728" s="27"/>
      <c r="M728" s="27"/>
      <c r="N728" s="27"/>
      <c r="O728" s="84"/>
      <c r="P728" s="27"/>
      <c r="Q728" s="27"/>
      <c r="R728" s="27"/>
      <c r="S728" s="27"/>
      <c r="T728" s="39"/>
    </row>
    <row r="729" spans="11:20" s="25" customFormat="1">
      <c r="K729" s="27"/>
      <c r="L729" s="27"/>
      <c r="M729" s="27"/>
      <c r="N729" s="27"/>
      <c r="O729" s="84"/>
      <c r="P729" s="27"/>
      <c r="Q729" s="27"/>
      <c r="R729" s="27"/>
      <c r="S729" s="27"/>
      <c r="T729" s="39"/>
    </row>
    <row r="730" spans="11:20" s="25" customFormat="1">
      <c r="K730" s="27"/>
      <c r="L730" s="27"/>
      <c r="M730" s="27"/>
      <c r="N730" s="27"/>
      <c r="O730" s="84"/>
      <c r="P730" s="27"/>
      <c r="Q730" s="27"/>
      <c r="R730" s="27"/>
      <c r="S730" s="27"/>
      <c r="T730" s="39"/>
    </row>
    <row r="731" spans="11:20" s="25" customFormat="1">
      <c r="K731" s="27"/>
      <c r="L731" s="27"/>
      <c r="M731" s="27"/>
      <c r="N731" s="27"/>
      <c r="O731" s="84"/>
      <c r="P731" s="27"/>
      <c r="Q731" s="27"/>
      <c r="R731" s="27"/>
      <c r="S731" s="27"/>
      <c r="T731" s="39"/>
    </row>
    <row r="732" spans="11:20" s="25" customFormat="1">
      <c r="K732" s="27"/>
      <c r="L732" s="27"/>
      <c r="M732" s="27"/>
      <c r="N732" s="27"/>
      <c r="O732" s="84"/>
      <c r="P732" s="27"/>
      <c r="Q732" s="27"/>
      <c r="R732" s="27"/>
      <c r="S732" s="27"/>
      <c r="T732" s="39"/>
    </row>
    <row r="733" spans="11:20" s="25" customFormat="1">
      <c r="K733" s="27"/>
      <c r="L733" s="27"/>
      <c r="M733" s="27"/>
      <c r="N733" s="27"/>
      <c r="O733" s="84"/>
      <c r="P733" s="27"/>
      <c r="Q733" s="27"/>
      <c r="R733" s="27"/>
      <c r="S733" s="27"/>
      <c r="T733" s="39"/>
    </row>
    <row r="734" spans="11:20" s="25" customFormat="1">
      <c r="K734" s="27"/>
      <c r="L734" s="27"/>
      <c r="M734" s="27"/>
      <c r="N734" s="27"/>
      <c r="O734" s="84"/>
      <c r="P734" s="27"/>
      <c r="Q734" s="27"/>
      <c r="R734" s="27"/>
      <c r="S734" s="27"/>
      <c r="T734" s="39"/>
    </row>
    <row r="735" spans="11:20" s="25" customFormat="1">
      <c r="K735" s="27"/>
      <c r="L735" s="27"/>
      <c r="M735" s="27"/>
      <c r="N735" s="27"/>
      <c r="O735" s="84"/>
      <c r="P735" s="27"/>
      <c r="Q735" s="27"/>
      <c r="R735" s="27"/>
      <c r="S735" s="27"/>
      <c r="T735" s="39"/>
    </row>
    <row r="736" spans="11:20" s="25" customFormat="1">
      <c r="K736" s="27"/>
      <c r="L736" s="27"/>
      <c r="M736" s="27"/>
      <c r="N736" s="27"/>
      <c r="O736" s="84"/>
      <c r="P736" s="27"/>
      <c r="Q736" s="27"/>
      <c r="R736" s="27"/>
      <c r="S736" s="27"/>
      <c r="T736" s="39"/>
    </row>
    <row r="737" spans="11:20" s="25" customFormat="1">
      <c r="K737" s="27"/>
      <c r="L737" s="27"/>
      <c r="M737" s="27"/>
      <c r="N737" s="27"/>
      <c r="O737" s="84"/>
      <c r="P737" s="27"/>
      <c r="Q737" s="27"/>
      <c r="R737" s="27"/>
      <c r="S737" s="27"/>
      <c r="T737" s="39"/>
    </row>
    <row r="738" spans="11:20" s="25" customFormat="1">
      <c r="K738" s="27"/>
      <c r="L738" s="27"/>
      <c r="M738" s="27"/>
      <c r="N738" s="27"/>
      <c r="O738" s="84"/>
      <c r="P738" s="27"/>
      <c r="Q738" s="27"/>
      <c r="R738" s="27"/>
      <c r="S738" s="27"/>
      <c r="T738" s="39"/>
    </row>
    <row r="739" spans="11:20" s="25" customFormat="1">
      <c r="K739" s="27"/>
      <c r="L739" s="27"/>
      <c r="M739" s="27"/>
      <c r="N739" s="27"/>
      <c r="O739" s="84"/>
      <c r="P739" s="27"/>
      <c r="Q739" s="27"/>
      <c r="R739" s="27"/>
      <c r="S739" s="27"/>
      <c r="T739" s="39"/>
    </row>
    <row r="740" spans="11:20" s="25" customFormat="1">
      <c r="K740" s="27"/>
      <c r="L740" s="27"/>
      <c r="M740" s="27"/>
      <c r="N740" s="27"/>
      <c r="O740" s="84"/>
      <c r="P740" s="27"/>
      <c r="Q740" s="27"/>
      <c r="R740" s="27"/>
      <c r="S740" s="27"/>
      <c r="T740" s="39"/>
    </row>
    <row r="741" spans="11:20" s="25" customFormat="1">
      <c r="K741" s="27"/>
      <c r="L741" s="27"/>
      <c r="M741" s="27"/>
      <c r="N741" s="27"/>
      <c r="O741" s="84"/>
      <c r="P741" s="27"/>
      <c r="Q741" s="27"/>
      <c r="R741" s="27"/>
      <c r="S741" s="27"/>
      <c r="T741" s="39"/>
    </row>
    <row r="742" spans="11:20" s="25" customFormat="1">
      <c r="K742" s="27"/>
      <c r="L742" s="27"/>
      <c r="M742" s="27"/>
      <c r="N742" s="27"/>
      <c r="O742" s="84"/>
      <c r="P742" s="27"/>
      <c r="Q742" s="27"/>
      <c r="R742" s="27"/>
      <c r="S742" s="27"/>
      <c r="T742" s="39"/>
    </row>
    <row r="743" spans="11:20" s="25" customFormat="1">
      <c r="K743" s="27"/>
      <c r="L743" s="27"/>
      <c r="M743" s="27"/>
      <c r="N743" s="27"/>
      <c r="O743" s="84"/>
      <c r="P743" s="27"/>
      <c r="Q743" s="27"/>
      <c r="R743" s="27"/>
      <c r="S743" s="27"/>
      <c r="T743" s="39"/>
    </row>
    <row r="744" spans="11:20" s="25" customFormat="1">
      <c r="K744" s="27"/>
      <c r="L744" s="27"/>
      <c r="M744" s="27"/>
      <c r="N744" s="27"/>
      <c r="O744" s="84"/>
      <c r="P744" s="27"/>
      <c r="Q744" s="27"/>
      <c r="R744" s="27"/>
      <c r="S744" s="27"/>
      <c r="T744" s="39"/>
    </row>
    <row r="745" spans="11:20" s="25" customFormat="1">
      <c r="K745" s="27"/>
      <c r="L745" s="27"/>
      <c r="M745" s="27"/>
      <c r="N745" s="27"/>
      <c r="O745" s="84"/>
      <c r="P745" s="27"/>
      <c r="Q745" s="27"/>
      <c r="R745" s="27"/>
      <c r="S745" s="27"/>
      <c r="T745" s="39"/>
    </row>
    <row r="746" spans="11:20" s="25" customFormat="1">
      <c r="K746" s="27"/>
      <c r="L746" s="27"/>
      <c r="M746" s="27"/>
      <c r="N746" s="27"/>
      <c r="O746" s="84"/>
      <c r="P746" s="27"/>
      <c r="Q746" s="27"/>
      <c r="R746" s="27"/>
      <c r="S746" s="27"/>
      <c r="T746" s="39"/>
    </row>
    <row r="747" spans="11:20" s="25" customFormat="1">
      <c r="K747" s="27"/>
      <c r="L747" s="27"/>
      <c r="M747" s="27"/>
      <c r="N747" s="27"/>
      <c r="O747" s="84"/>
      <c r="P747" s="27"/>
      <c r="Q747" s="27"/>
      <c r="R747" s="27"/>
      <c r="S747" s="27"/>
      <c r="T747" s="39"/>
    </row>
    <row r="748" spans="11:20" s="25" customFormat="1">
      <c r="K748" s="27"/>
      <c r="L748" s="27"/>
      <c r="M748" s="27"/>
      <c r="N748" s="27"/>
      <c r="O748" s="84"/>
      <c r="P748" s="27"/>
      <c r="Q748" s="27"/>
      <c r="R748" s="27"/>
      <c r="S748" s="27"/>
      <c r="T748" s="39"/>
    </row>
    <row r="749" spans="11:20" s="25" customFormat="1">
      <c r="K749" s="27"/>
      <c r="L749" s="27"/>
      <c r="M749" s="27"/>
      <c r="N749" s="27"/>
      <c r="O749" s="84"/>
      <c r="P749" s="27"/>
      <c r="Q749" s="27"/>
      <c r="R749" s="27"/>
      <c r="S749" s="27"/>
      <c r="T749" s="39"/>
    </row>
    <row r="750" spans="11:20" s="25" customFormat="1">
      <c r="K750" s="27"/>
      <c r="L750" s="27"/>
      <c r="M750" s="27"/>
      <c r="N750" s="27"/>
      <c r="O750" s="84"/>
      <c r="P750" s="27"/>
      <c r="Q750" s="27"/>
      <c r="R750" s="27"/>
      <c r="S750" s="27"/>
      <c r="T750" s="39"/>
    </row>
    <row r="751" spans="11:20" s="25" customFormat="1">
      <c r="K751" s="27"/>
      <c r="L751" s="27"/>
      <c r="M751" s="27"/>
      <c r="N751" s="27"/>
      <c r="O751" s="84"/>
      <c r="P751" s="27"/>
      <c r="Q751" s="27"/>
      <c r="R751" s="27"/>
      <c r="S751" s="27"/>
      <c r="T751" s="39"/>
    </row>
    <row r="752" spans="11:20" s="25" customFormat="1">
      <c r="K752" s="27"/>
      <c r="L752" s="27"/>
      <c r="M752" s="27"/>
      <c r="N752" s="27"/>
      <c r="O752" s="84"/>
      <c r="P752" s="27"/>
      <c r="Q752" s="27"/>
      <c r="R752" s="27"/>
      <c r="S752" s="27"/>
      <c r="T752" s="39"/>
    </row>
    <row r="753" spans="11:20" s="25" customFormat="1">
      <c r="K753" s="27"/>
      <c r="L753" s="27"/>
      <c r="M753" s="27"/>
      <c r="N753" s="27"/>
      <c r="O753" s="84"/>
      <c r="P753" s="27"/>
      <c r="Q753" s="27"/>
      <c r="R753" s="27"/>
      <c r="S753" s="27"/>
      <c r="T753" s="39"/>
    </row>
    <row r="754" spans="11:20" s="25" customFormat="1">
      <c r="K754" s="27"/>
      <c r="L754" s="27"/>
      <c r="M754" s="27"/>
      <c r="N754" s="27"/>
      <c r="O754" s="84"/>
      <c r="P754" s="27"/>
      <c r="Q754" s="27"/>
      <c r="R754" s="27"/>
      <c r="S754" s="27"/>
      <c r="T754" s="39"/>
    </row>
    <row r="755" spans="11:20" s="25" customFormat="1">
      <c r="K755" s="27"/>
      <c r="L755" s="27"/>
      <c r="M755" s="27"/>
      <c r="N755" s="27"/>
      <c r="O755" s="84"/>
      <c r="P755" s="27"/>
      <c r="Q755" s="27"/>
      <c r="R755" s="27"/>
      <c r="S755" s="27"/>
      <c r="T755" s="39"/>
    </row>
    <row r="756" spans="11:20" s="25" customFormat="1">
      <c r="K756" s="27"/>
      <c r="L756" s="27"/>
      <c r="M756" s="27"/>
      <c r="N756" s="27"/>
      <c r="O756" s="84"/>
      <c r="P756" s="27"/>
      <c r="Q756" s="27"/>
      <c r="R756" s="27"/>
      <c r="S756" s="27"/>
      <c r="T756" s="39"/>
    </row>
    <row r="757" spans="11:20" s="25" customFormat="1">
      <c r="K757" s="27"/>
      <c r="L757" s="27"/>
      <c r="M757" s="27"/>
      <c r="N757" s="27"/>
      <c r="O757" s="84"/>
      <c r="P757" s="27"/>
      <c r="Q757" s="27"/>
      <c r="R757" s="27"/>
      <c r="S757" s="27"/>
      <c r="T757" s="39"/>
    </row>
    <row r="758" spans="11:20" s="25" customFormat="1">
      <c r="K758" s="27"/>
      <c r="L758" s="27"/>
      <c r="M758" s="27"/>
      <c r="N758" s="27"/>
      <c r="O758" s="84"/>
      <c r="P758" s="27"/>
      <c r="Q758" s="27"/>
      <c r="R758" s="27"/>
      <c r="S758" s="27"/>
      <c r="T758" s="39"/>
    </row>
    <row r="759" spans="11:20" s="25" customFormat="1">
      <c r="K759" s="27"/>
      <c r="L759" s="27"/>
      <c r="M759" s="27"/>
      <c r="N759" s="27"/>
      <c r="O759" s="84"/>
      <c r="P759" s="27"/>
      <c r="Q759" s="27"/>
      <c r="R759" s="27"/>
      <c r="S759" s="27"/>
      <c r="T759" s="39"/>
    </row>
    <row r="760" spans="11:20" s="25" customFormat="1">
      <c r="K760" s="27"/>
      <c r="L760" s="27"/>
      <c r="M760" s="27"/>
      <c r="N760" s="27"/>
      <c r="O760" s="84"/>
      <c r="P760" s="27"/>
      <c r="Q760" s="27"/>
      <c r="R760" s="27"/>
      <c r="S760" s="27"/>
      <c r="T760" s="39"/>
    </row>
    <row r="761" spans="11:20" s="25" customFormat="1">
      <c r="K761" s="27"/>
      <c r="L761" s="27"/>
      <c r="M761" s="27"/>
      <c r="N761" s="27"/>
      <c r="O761" s="84"/>
      <c r="P761" s="27"/>
      <c r="Q761" s="27"/>
      <c r="R761" s="27"/>
      <c r="S761" s="27"/>
      <c r="T761" s="39"/>
    </row>
    <row r="762" spans="11:20" s="25" customFormat="1">
      <c r="K762" s="27"/>
      <c r="L762" s="27"/>
      <c r="M762" s="27"/>
      <c r="N762" s="27"/>
      <c r="O762" s="84"/>
      <c r="P762" s="27"/>
      <c r="Q762" s="27"/>
      <c r="R762" s="27"/>
      <c r="S762" s="27"/>
      <c r="T762" s="39"/>
    </row>
    <row r="763" spans="11:20" s="25" customFormat="1">
      <c r="K763" s="27"/>
      <c r="L763" s="27"/>
      <c r="M763" s="27"/>
      <c r="N763" s="27"/>
      <c r="O763" s="84"/>
      <c r="P763" s="27"/>
      <c r="Q763" s="27"/>
      <c r="R763" s="27"/>
      <c r="S763" s="27"/>
      <c r="T763" s="39"/>
    </row>
    <row r="764" spans="11:20" s="25" customFormat="1">
      <c r="K764" s="27"/>
      <c r="L764" s="27"/>
      <c r="M764" s="27"/>
      <c r="N764" s="27"/>
      <c r="O764" s="84"/>
      <c r="P764" s="27"/>
      <c r="Q764" s="27"/>
      <c r="R764" s="27"/>
      <c r="S764" s="27"/>
      <c r="T764" s="39"/>
    </row>
    <row r="765" spans="11:20" s="25" customFormat="1">
      <c r="K765" s="27"/>
      <c r="L765" s="27"/>
      <c r="M765" s="27"/>
      <c r="N765" s="27"/>
      <c r="O765" s="84"/>
      <c r="P765" s="27"/>
      <c r="Q765" s="27"/>
      <c r="R765" s="27"/>
      <c r="S765" s="27"/>
      <c r="T765" s="39"/>
    </row>
    <row r="766" spans="11:20" s="25" customFormat="1">
      <c r="K766" s="27"/>
      <c r="L766" s="27"/>
      <c r="M766" s="27"/>
      <c r="N766" s="27"/>
      <c r="O766" s="84"/>
      <c r="P766" s="27"/>
      <c r="Q766" s="27"/>
      <c r="R766" s="27"/>
      <c r="S766" s="27"/>
      <c r="T766" s="39"/>
    </row>
    <row r="767" spans="11:20" s="25" customFormat="1">
      <c r="K767" s="27"/>
      <c r="L767" s="27"/>
      <c r="M767" s="27"/>
      <c r="N767" s="27"/>
      <c r="O767" s="84"/>
      <c r="P767" s="27"/>
      <c r="Q767" s="27"/>
      <c r="R767" s="27"/>
      <c r="S767" s="27"/>
      <c r="T767" s="39"/>
    </row>
    <row r="768" spans="11:20" s="25" customFormat="1">
      <c r="K768" s="27"/>
      <c r="L768" s="27"/>
      <c r="M768" s="27"/>
      <c r="N768" s="27"/>
      <c r="O768" s="84"/>
      <c r="P768" s="27"/>
      <c r="Q768" s="27"/>
      <c r="R768" s="27"/>
      <c r="S768" s="27"/>
      <c r="T768" s="39"/>
    </row>
    <row r="769" spans="11:20" s="25" customFormat="1">
      <c r="K769" s="27"/>
      <c r="L769" s="27"/>
      <c r="M769" s="27"/>
      <c r="N769" s="27"/>
      <c r="O769" s="84"/>
      <c r="P769" s="27"/>
      <c r="Q769" s="27"/>
      <c r="R769" s="27"/>
      <c r="S769" s="27"/>
      <c r="T769" s="39"/>
    </row>
    <row r="770" spans="11:20" s="25" customFormat="1">
      <c r="K770" s="27"/>
      <c r="L770" s="27"/>
      <c r="M770" s="27"/>
      <c r="N770" s="27"/>
      <c r="O770" s="84"/>
      <c r="P770" s="27"/>
      <c r="Q770" s="27"/>
      <c r="R770" s="27"/>
      <c r="S770" s="27"/>
      <c r="T770" s="39"/>
    </row>
    <row r="771" spans="11:20" s="25" customFormat="1">
      <c r="K771" s="27"/>
      <c r="L771" s="27"/>
      <c r="M771" s="27"/>
      <c r="N771" s="27"/>
      <c r="O771" s="84"/>
      <c r="P771" s="27"/>
      <c r="Q771" s="27"/>
      <c r="R771" s="27"/>
      <c r="S771" s="27"/>
      <c r="T771" s="39"/>
    </row>
    <row r="772" spans="11:20" s="25" customFormat="1">
      <c r="K772" s="27"/>
      <c r="L772" s="27"/>
      <c r="M772" s="27"/>
      <c r="N772" s="27"/>
      <c r="O772" s="84"/>
      <c r="P772" s="27"/>
      <c r="Q772" s="27"/>
      <c r="R772" s="27"/>
      <c r="S772" s="27"/>
      <c r="T772" s="39"/>
    </row>
    <row r="773" spans="11:20" s="25" customFormat="1">
      <c r="K773" s="27"/>
      <c r="L773" s="27"/>
      <c r="M773" s="27"/>
      <c r="N773" s="27"/>
      <c r="O773" s="84"/>
      <c r="P773" s="27"/>
      <c r="Q773" s="27"/>
      <c r="R773" s="27"/>
      <c r="S773" s="27"/>
      <c r="T773" s="39"/>
    </row>
    <row r="774" spans="11:20" s="25" customFormat="1">
      <c r="K774" s="27"/>
      <c r="L774" s="27"/>
      <c r="M774" s="27"/>
      <c r="N774" s="27"/>
      <c r="O774" s="84"/>
      <c r="P774" s="27"/>
      <c r="Q774" s="27"/>
      <c r="R774" s="27"/>
      <c r="S774" s="27"/>
      <c r="T774" s="39"/>
    </row>
    <row r="775" spans="11:20" s="25" customFormat="1">
      <c r="K775" s="27"/>
      <c r="L775" s="27"/>
      <c r="M775" s="27"/>
      <c r="N775" s="27"/>
      <c r="O775" s="84"/>
      <c r="P775" s="27"/>
      <c r="Q775" s="27"/>
      <c r="R775" s="27"/>
      <c r="S775" s="27"/>
      <c r="T775" s="39"/>
    </row>
    <row r="776" spans="11:20" s="25" customFormat="1">
      <c r="K776" s="27"/>
      <c r="L776" s="27"/>
      <c r="M776" s="27"/>
      <c r="N776" s="27"/>
      <c r="O776" s="84"/>
      <c r="P776" s="27"/>
      <c r="Q776" s="27"/>
      <c r="R776" s="27"/>
      <c r="S776" s="27"/>
      <c r="T776" s="39"/>
    </row>
    <row r="777" spans="11:20" s="25" customFormat="1">
      <c r="K777" s="27"/>
      <c r="L777" s="27"/>
      <c r="M777" s="27"/>
      <c r="N777" s="27"/>
      <c r="O777" s="84"/>
      <c r="P777" s="27"/>
      <c r="Q777" s="27"/>
      <c r="R777" s="27"/>
      <c r="S777" s="27"/>
      <c r="T777" s="39"/>
    </row>
    <row r="778" spans="11:20" s="25" customFormat="1">
      <c r="K778" s="27"/>
      <c r="L778" s="27"/>
      <c r="M778" s="27"/>
      <c r="N778" s="27"/>
      <c r="O778" s="84"/>
      <c r="P778" s="27"/>
      <c r="Q778" s="27"/>
      <c r="R778" s="27"/>
      <c r="S778" s="27"/>
      <c r="T778" s="39"/>
    </row>
    <row r="779" spans="11:20" s="25" customFormat="1">
      <c r="K779" s="27"/>
      <c r="L779" s="27"/>
      <c r="M779" s="27"/>
      <c r="N779" s="27"/>
      <c r="O779" s="84"/>
      <c r="P779" s="27"/>
      <c r="Q779" s="27"/>
      <c r="R779" s="27"/>
      <c r="S779" s="27"/>
      <c r="T779" s="39"/>
    </row>
    <row r="780" spans="11:20" s="25" customFormat="1">
      <c r="K780" s="27"/>
      <c r="L780" s="27"/>
      <c r="M780" s="27"/>
      <c r="N780" s="27"/>
      <c r="O780" s="84"/>
      <c r="P780" s="27"/>
      <c r="Q780" s="27"/>
      <c r="R780" s="27"/>
      <c r="S780" s="27"/>
      <c r="T780" s="39"/>
    </row>
    <row r="781" spans="11:20" s="25" customFormat="1">
      <c r="K781" s="27"/>
      <c r="L781" s="27"/>
      <c r="M781" s="27"/>
      <c r="N781" s="27"/>
      <c r="O781" s="84"/>
      <c r="P781" s="27"/>
      <c r="Q781" s="27"/>
      <c r="R781" s="27"/>
      <c r="S781" s="27"/>
      <c r="T781" s="39"/>
    </row>
    <row r="782" spans="11:20" s="25" customFormat="1">
      <c r="K782" s="27"/>
      <c r="L782" s="27"/>
      <c r="M782" s="27"/>
      <c r="N782" s="27"/>
      <c r="O782" s="84"/>
      <c r="P782" s="27"/>
      <c r="Q782" s="27"/>
      <c r="R782" s="27"/>
      <c r="S782" s="27"/>
      <c r="T782" s="39"/>
    </row>
    <row r="783" spans="11:20" s="25" customFormat="1">
      <c r="K783" s="27"/>
      <c r="L783" s="27"/>
      <c r="M783" s="27"/>
      <c r="N783" s="27"/>
      <c r="O783" s="84"/>
      <c r="P783" s="27"/>
      <c r="Q783" s="27"/>
      <c r="R783" s="27"/>
      <c r="S783" s="27"/>
      <c r="T783" s="39"/>
    </row>
    <row r="784" spans="11:20" s="25" customFormat="1">
      <c r="K784" s="27"/>
      <c r="L784" s="27"/>
      <c r="M784" s="27"/>
      <c r="N784" s="27"/>
      <c r="O784" s="84"/>
      <c r="P784" s="27"/>
      <c r="Q784" s="27"/>
      <c r="R784" s="27"/>
      <c r="S784" s="27"/>
      <c r="T784" s="39"/>
    </row>
    <row r="785" spans="11:20" s="25" customFormat="1">
      <c r="K785" s="27"/>
      <c r="L785" s="27"/>
      <c r="M785" s="27"/>
      <c r="N785" s="27"/>
      <c r="O785" s="84"/>
      <c r="P785" s="27"/>
      <c r="Q785" s="27"/>
      <c r="R785" s="27"/>
      <c r="S785" s="27"/>
      <c r="T785" s="39"/>
    </row>
    <row r="786" spans="11:20" s="25" customFormat="1">
      <c r="K786" s="27"/>
      <c r="L786" s="27"/>
      <c r="M786" s="27"/>
      <c r="N786" s="27"/>
      <c r="O786" s="84"/>
      <c r="P786" s="27"/>
      <c r="Q786" s="27"/>
      <c r="R786" s="27"/>
      <c r="S786" s="27"/>
      <c r="T786" s="39"/>
    </row>
    <row r="787" spans="11:20" s="25" customFormat="1">
      <c r="K787" s="27"/>
      <c r="L787" s="27"/>
      <c r="M787" s="27"/>
      <c r="N787" s="27"/>
      <c r="O787" s="84"/>
      <c r="P787" s="27"/>
      <c r="Q787" s="27"/>
      <c r="R787" s="27"/>
      <c r="S787" s="27"/>
      <c r="T787" s="39"/>
    </row>
    <row r="788" spans="11:20" s="25" customFormat="1">
      <c r="K788" s="27"/>
      <c r="L788" s="27"/>
      <c r="M788" s="27"/>
      <c r="N788" s="27"/>
      <c r="O788" s="84"/>
      <c r="P788" s="27"/>
      <c r="Q788" s="27"/>
      <c r="R788" s="27"/>
      <c r="S788" s="27"/>
      <c r="T788" s="39"/>
    </row>
    <row r="789" spans="11:20" s="25" customFormat="1">
      <c r="K789" s="27"/>
      <c r="L789" s="27"/>
      <c r="M789" s="27"/>
      <c r="N789" s="27"/>
      <c r="O789" s="84"/>
      <c r="P789" s="27"/>
      <c r="Q789" s="27"/>
      <c r="R789" s="27"/>
      <c r="S789" s="27"/>
      <c r="T789" s="39"/>
    </row>
    <row r="790" spans="11:20" s="25" customFormat="1">
      <c r="K790" s="27"/>
      <c r="L790" s="27"/>
      <c r="M790" s="27"/>
      <c r="N790" s="27"/>
      <c r="O790" s="84"/>
      <c r="P790" s="27"/>
      <c r="Q790" s="27"/>
      <c r="R790" s="27"/>
      <c r="S790" s="27"/>
      <c r="T790" s="39"/>
    </row>
    <row r="791" spans="11:20" s="25" customFormat="1">
      <c r="K791" s="27"/>
      <c r="L791" s="27"/>
      <c r="M791" s="27"/>
      <c r="N791" s="27"/>
      <c r="O791" s="84"/>
      <c r="P791" s="27"/>
      <c r="Q791" s="27"/>
      <c r="R791" s="27"/>
      <c r="S791" s="27"/>
      <c r="T791" s="39"/>
    </row>
    <row r="792" spans="11:20" s="25" customFormat="1">
      <c r="K792" s="27"/>
      <c r="L792" s="27"/>
      <c r="M792" s="27"/>
      <c r="N792" s="27"/>
      <c r="O792" s="84"/>
      <c r="P792" s="27"/>
      <c r="Q792" s="27"/>
      <c r="R792" s="27"/>
      <c r="S792" s="27"/>
      <c r="T792" s="39"/>
    </row>
    <row r="793" spans="11:20" s="25" customFormat="1">
      <c r="K793" s="27"/>
      <c r="L793" s="27"/>
      <c r="M793" s="27"/>
      <c r="N793" s="27"/>
      <c r="O793" s="84"/>
      <c r="P793" s="27"/>
      <c r="Q793" s="27"/>
      <c r="R793" s="27"/>
      <c r="S793" s="27"/>
      <c r="T793" s="39"/>
    </row>
    <row r="794" spans="11:20" s="25" customFormat="1">
      <c r="K794" s="27"/>
      <c r="L794" s="27"/>
      <c r="M794" s="27"/>
      <c r="N794" s="27"/>
      <c r="O794" s="84"/>
      <c r="P794" s="27"/>
      <c r="Q794" s="27"/>
      <c r="R794" s="27"/>
      <c r="S794" s="27"/>
      <c r="T794" s="39"/>
    </row>
    <row r="795" spans="11:20" s="25" customFormat="1">
      <c r="K795" s="27"/>
      <c r="L795" s="27"/>
      <c r="M795" s="27"/>
      <c r="N795" s="27"/>
      <c r="O795" s="84"/>
      <c r="P795" s="27"/>
      <c r="Q795" s="27"/>
      <c r="R795" s="27"/>
      <c r="S795" s="27"/>
      <c r="T795" s="39"/>
    </row>
    <row r="796" spans="11:20" s="25" customFormat="1">
      <c r="K796" s="27"/>
      <c r="L796" s="27"/>
      <c r="M796" s="27"/>
      <c r="N796" s="27"/>
      <c r="O796" s="84"/>
      <c r="P796" s="27"/>
      <c r="Q796" s="27"/>
      <c r="R796" s="27"/>
      <c r="S796" s="27"/>
      <c r="T796" s="39"/>
    </row>
    <row r="797" spans="11:20" s="25" customFormat="1">
      <c r="K797" s="27"/>
      <c r="L797" s="27"/>
      <c r="M797" s="27"/>
      <c r="N797" s="27"/>
      <c r="O797" s="84"/>
      <c r="P797" s="27"/>
      <c r="Q797" s="27"/>
      <c r="R797" s="27"/>
      <c r="S797" s="27"/>
      <c r="T797" s="39"/>
    </row>
    <row r="798" spans="11:20" s="25" customFormat="1">
      <c r="K798" s="27"/>
      <c r="L798" s="27"/>
      <c r="M798" s="27"/>
      <c r="N798" s="27"/>
      <c r="O798" s="84"/>
      <c r="P798" s="27"/>
      <c r="Q798" s="27"/>
      <c r="R798" s="27"/>
      <c r="S798" s="27"/>
      <c r="T798" s="39"/>
    </row>
    <row r="799" spans="11:20" s="25" customFormat="1">
      <c r="K799" s="27"/>
      <c r="L799" s="27"/>
      <c r="M799" s="27"/>
      <c r="N799" s="27"/>
      <c r="O799" s="84"/>
      <c r="P799" s="27"/>
      <c r="Q799" s="27"/>
      <c r="R799" s="27"/>
      <c r="S799" s="27"/>
      <c r="T799" s="39"/>
    </row>
    <row r="800" spans="11:20" s="25" customFormat="1">
      <c r="K800" s="27"/>
      <c r="L800" s="27"/>
      <c r="M800" s="27"/>
      <c r="N800" s="27"/>
      <c r="O800" s="84"/>
      <c r="P800" s="27"/>
      <c r="Q800" s="27"/>
      <c r="R800" s="27"/>
      <c r="S800" s="27"/>
      <c r="T800" s="39"/>
    </row>
    <row r="801" spans="11:20" s="25" customFormat="1">
      <c r="K801" s="27"/>
      <c r="L801" s="27"/>
      <c r="M801" s="27"/>
      <c r="N801" s="27"/>
      <c r="O801" s="84"/>
      <c r="P801" s="27"/>
      <c r="Q801" s="27"/>
      <c r="R801" s="27"/>
      <c r="S801" s="27"/>
      <c r="T801" s="39"/>
    </row>
    <row r="802" spans="11:20" s="25" customFormat="1">
      <c r="K802" s="27"/>
      <c r="L802" s="27"/>
      <c r="M802" s="27"/>
      <c r="N802" s="27"/>
      <c r="O802" s="84"/>
      <c r="P802" s="27"/>
      <c r="Q802" s="27"/>
      <c r="R802" s="27"/>
      <c r="S802" s="27"/>
      <c r="T802" s="39"/>
    </row>
    <row r="803" spans="11:20" s="25" customFormat="1">
      <c r="K803" s="27"/>
      <c r="L803" s="27"/>
      <c r="M803" s="27"/>
      <c r="N803" s="27"/>
      <c r="O803" s="84"/>
      <c r="P803" s="27"/>
      <c r="Q803" s="27"/>
      <c r="R803" s="27"/>
      <c r="S803" s="27"/>
      <c r="T803" s="39"/>
    </row>
    <row r="804" spans="11:20" s="25" customFormat="1">
      <c r="K804" s="27"/>
      <c r="L804" s="27"/>
      <c r="M804" s="27"/>
      <c r="N804" s="27"/>
      <c r="O804" s="84"/>
      <c r="P804" s="27"/>
      <c r="Q804" s="27"/>
      <c r="R804" s="27"/>
      <c r="S804" s="27"/>
      <c r="T804" s="39"/>
    </row>
    <row r="805" spans="11:20" s="25" customFormat="1">
      <c r="K805" s="27"/>
      <c r="L805" s="27"/>
      <c r="M805" s="27"/>
      <c r="N805" s="27"/>
      <c r="O805" s="84"/>
      <c r="P805" s="27"/>
      <c r="Q805" s="27"/>
      <c r="R805" s="27"/>
      <c r="S805" s="27"/>
      <c r="T805" s="39"/>
    </row>
    <row r="806" spans="11:20" s="25" customFormat="1">
      <c r="K806" s="27"/>
      <c r="L806" s="27"/>
      <c r="M806" s="27"/>
      <c r="N806" s="27"/>
      <c r="O806" s="84"/>
      <c r="P806" s="27"/>
      <c r="Q806" s="27"/>
      <c r="R806" s="27"/>
      <c r="S806" s="27"/>
      <c r="T806" s="39"/>
    </row>
    <row r="807" spans="11:20" s="25" customFormat="1">
      <c r="K807" s="27"/>
      <c r="L807" s="27"/>
      <c r="M807" s="27"/>
      <c r="N807" s="27"/>
      <c r="O807" s="84"/>
      <c r="P807" s="27"/>
      <c r="Q807" s="27"/>
      <c r="R807" s="27"/>
      <c r="S807" s="27"/>
      <c r="T807" s="39"/>
    </row>
    <row r="808" spans="11:20" s="25" customFormat="1">
      <c r="K808" s="27"/>
      <c r="L808" s="27"/>
      <c r="M808" s="27"/>
      <c r="N808" s="27"/>
      <c r="O808" s="84"/>
      <c r="P808" s="27"/>
      <c r="Q808" s="27"/>
      <c r="R808" s="27"/>
      <c r="S808" s="27"/>
      <c r="T808" s="39"/>
    </row>
    <row r="809" spans="11:20" s="25" customFormat="1">
      <c r="K809" s="27"/>
      <c r="L809" s="27"/>
      <c r="M809" s="27"/>
      <c r="N809" s="27"/>
      <c r="O809" s="84"/>
      <c r="P809" s="27"/>
      <c r="Q809" s="27"/>
      <c r="R809" s="27"/>
      <c r="S809" s="27"/>
      <c r="T809" s="39"/>
    </row>
    <row r="810" spans="11:20" s="25" customFormat="1">
      <c r="K810" s="27"/>
      <c r="L810" s="27"/>
      <c r="M810" s="27"/>
      <c r="N810" s="27"/>
      <c r="O810" s="84"/>
      <c r="P810" s="27"/>
      <c r="Q810" s="27"/>
      <c r="R810" s="27"/>
      <c r="S810" s="27"/>
      <c r="T810" s="39"/>
    </row>
    <row r="811" spans="11:20" s="25" customFormat="1">
      <c r="K811" s="27"/>
      <c r="L811" s="27"/>
      <c r="M811" s="27"/>
      <c r="N811" s="27"/>
      <c r="O811" s="84"/>
      <c r="P811" s="27"/>
      <c r="Q811" s="27"/>
      <c r="R811" s="27"/>
      <c r="S811" s="27"/>
      <c r="T811" s="39"/>
    </row>
    <row r="812" spans="11:20" s="25" customFormat="1">
      <c r="K812" s="27"/>
      <c r="L812" s="27"/>
      <c r="M812" s="27"/>
      <c r="N812" s="27"/>
      <c r="O812" s="84"/>
      <c r="P812" s="27"/>
      <c r="Q812" s="27"/>
      <c r="R812" s="27"/>
      <c r="S812" s="27"/>
      <c r="T812" s="39"/>
    </row>
    <row r="813" spans="11:20" s="25" customFormat="1">
      <c r="K813" s="27"/>
      <c r="L813" s="27"/>
      <c r="M813" s="27"/>
      <c r="N813" s="27"/>
      <c r="O813" s="84"/>
      <c r="P813" s="27"/>
      <c r="Q813" s="27"/>
      <c r="R813" s="27"/>
      <c r="S813" s="27"/>
      <c r="T813" s="39"/>
    </row>
    <row r="814" spans="11:20" s="25" customFormat="1">
      <c r="K814" s="27"/>
      <c r="L814" s="27"/>
      <c r="M814" s="27"/>
      <c r="N814" s="27"/>
      <c r="O814" s="84"/>
      <c r="P814" s="27"/>
      <c r="Q814" s="27"/>
      <c r="R814" s="27"/>
      <c r="S814" s="27"/>
      <c r="T814" s="39"/>
    </row>
    <row r="815" spans="11:20" s="25" customFormat="1">
      <c r="K815" s="27"/>
      <c r="L815" s="27"/>
      <c r="M815" s="27"/>
      <c r="N815" s="27"/>
      <c r="O815" s="84"/>
      <c r="P815" s="27"/>
      <c r="Q815" s="27"/>
      <c r="R815" s="27"/>
      <c r="S815" s="27"/>
      <c r="T815" s="39"/>
    </row>
    <row r="816" spans="11:20" s="25" customFormat="1">
      <c r="K816" s="27"/>
      <c r="L816" s="27"/>
      <c r="M816" s="27"/>
      <c r="N816" s="27"/>
      <c r="O816" s="84"/>
      <c r="P816" s="27"/>
      <c r="Q816" s="27"/>
      <c r="R816" s="27"/>
      <c r="S816" s="27"/>
      <c r="T816" s="39"/>
    </row>
    <row r="817" spans="11:20" s="25" customFormat="1">
      <c r="K817" s="27"/>
      <c r="L817" s="27"/>
      <c r="M817" s="27"/>
      <c r="N817" s="27"/>
      <c r="O817" s="84"/>
      <c r="P817" s="27"/>
      <c r="Q817" s="27"/>
      <c r="R817" s="27"/>
      <c r="S817" s="27"/>
      <c r="T817" s="39"/>
    </row>
    <row r="818" spans="11:20" s="25" customFormat="1">
      <c r="K818" s="27"/>
      <c r="L818" s="27"/>
      <c r="M818" s="27"/>
      <c r="N818" s="27"/>
      <c r="O818" s="84"/>
      <c r="P818" s="27"/>
      <c r="Q818" s="27"/>
      <c r="R818" s="27"/>
      <c r="S818" s="27"/>
      <c r="T818" s="39"/>
    </row>
    <row r="819" spans="11:20" s="25" customFormat="1">
      <c r="K819" s="27"/>
      <c r="L819" s="27"/>
      <c r="M819" s="27"/>
      <c r="N819" s="27"/>
      <c r="O819" s="84"/>
      <c r="P819" s="27"/>
      <c r="Q819" s="27"/>
      <c r="R819" s="27"/>
      <c r="S819" s="27"/>
      <c r="T819" s="39"/>
    </row>
    <row r="820" spans="11:20" s="25" customFormat="1">
      <c r="K820" s="27"/>
      <c r="L820" s="27"/>
      <c r="M820" s="27"/>
      <c r="N820" s="27"/>
      <c r="O820" s="84"/>
      <c r="P820" s="27"/>
      <c r="Q820" s="27"/>
      <c r="R820" s="27"/>
      <c r="S820" s="27"/>
      <c r="T820" s="39"/>
    </row>
    <row r="821" spans="11:20" s="25" customFormat="1">
      <c r="K821" s="27"/>
      <c r="L821" s="27"/>
      <c r="M821" s="27"/>
      <c r="N821" s="27"/>
      <c r="O821" s="84"/>
      <c r="P821" s="27"/>
      <c r="Q821" s="27"/>
      <c r="R821" s="27"/>
      <c r="S821" s="27"/>
      <c r="T821" s="39"/>
    </row>
    <row r="822" spans="11:20" s="25" customFormat="1">
      <c r="K822" s="27"/>
      <c r="L822" s="27"/>
      <c r="M822" s="27"/>
      <c r="N822" s="27"/>
      <c r="O822" s="84"/>
      <c r="P822" s="27"/>
      <c r="Q822" s="27"/>
      <c r="R822" s="27"/>
      <c r="S822" s="27"/>
      <c r="T822" s="39"/>
    </row>
    <row r="823" spans="11:20" s="25" customFormat="1">
      <c r="K823" s="27"/>
      <c r="L823" s="27"/>
      <c r="M823" s="27"/>
      <c r="N823" s="27"/>
      <c r="O823" s="84"/>
      <c r="P823" s="27"/>
      <c r="Q823" s="27"/>
      <c r="R823" s="27"/>
      <c r="S823" s="27"/>
      <c r="T823" s="39"/>
    </row>
    <row r="824" spans="11:20" s="25" customFormat="1">
      <c r="K824" s="27"/>
      <c r="L824" s="27"/>
      <c r="M824" s="27"/>
      <c r="N824" s="27"/>
      <c r="O824" s="84"/>
      <c r="P824" s="27"/>
      <c r="Q824" s="27"/>
      <c r="R824" s="27"/>
      <c r="S824" s="27"/>
      <c r="T824" s="39"/>
    </row>
    <row r="825" spans="11:20" s="25" customFormat="1">
      <c r="K825" s="27"/>
      <c r="L825" s="27"/>
      <c r="M825" s="27"/>
      <c r="N825" s="27"/>
      <c r="O825" s="84"/>
      <c r="P825" s="27"/>
      <c r="Q825" s="27"/>
      <c r="R825" s="27"/>
      <c r="S825" s="27"/>
      <c r="T825" s="39"/>
    </row>
    <row r="826" spans="11:20" s="25" customFormat="1">
      <c r="K826" s="27"/>
      <c r="L826" s="27"/>
      <c r="M826" s="27"/>
      <c r="N826" s="27"/>
      <c r="O826" s="84"/>
      <c r="P826" s="27"/>
      <c r="Q826" s="27"/>
      <c r="R826" s="27"/>
      <c r="S826" s="27"/>
      <c r="T826" s="39"/>
    </row>
    <row r="827" spans="11:20" s="25" customFormat="1">
      <c r="K827" s="27"/>
      <c r="L827" s="27"/>
      <c r="M827" s="27"/>
      <c r="N827" s="27"/>
      <c r="O827" s="84"/>
      <c r="P827" s="27"/>
      <c r="Q827" s="27"/>
      <c r="R827" s="27"/>
      <c r="S827" s="27"/>
      <c r="T827" s="39"/>
    </row>
    <row r="828" spans="11:20" s="25" customFormat="1">
      <c r="K828" s="27"/>
      <c r="L828" s="27"/>
      <c r="M828" s="27"/>
      <c r="N828" s="27"/>
      <c r="O828" s="84"/>
      <c r="P828" s="27"/>
      <c r="Q828" s="27"/>
      <c r="R828" s="27"/>
      <c r="S828" s="27"/>
      <c r="T828" s="39"/>
    </row>
    <row r="829" spans="11:20" s="25" customFormat="1">
      <c r="K829" s="27"/>
      <c r="L829" s="27"/>
      <c r="M829" s="27"/>
      <c r="N829" s="27"/>
      <c r="O829" s="84"/>
      <c r="P829" s="27"/>
      <c r="Q829" s="27"/>
      <c r="R829" s="27"/>
      <c r="S829" s="27"/>
      <c r="T829" s="39"/>
    </row>
    <row r="830" spans="11:20" s="25" customFormat="1">
      <c r="K830" s="27"/>
      <c r="L830" s="27"/>
      <c r="M830" s="27"/>
      <c r="N830" s="27"/>
      <c r="O830" s="84"/>
      <c r="P830" s="27"/>
      <c r="Q830" s="27"/>
      <c r="R830" s="27"/>
      <c r="S830" s="27"/>
      <c r="T830" s="39"/>
    </row>
    <row r="831" spans="11:20" s="25" customFormat="1">
      <c r="K831" s="27"/>
      <c r="L831" s="27"/>
      <c r="M831" s="27"/>
      <c r="N831" s="27"/>
      <c r="O831" s="84"/>
      <c r="P831" s="27"/>
      <c r="Q831" s="27"/>
      <c r="R831" s="27"/>
      <c r="S831" s="27"/>
      <c r="T831" s="39"/>
    </row>
    <row r="832" spans="11:20" s="25" customFormat="1">
      <c r="K832" s="27"/>
      <c r="L832" s="27"/>
      <c r="M832" s="27"/>
      <c r="N832" s="27"/>
      <c r="O832" s="84"/>
      <c r="P832" s="27"/>
      <c r="Q832" s="27"/>
      <c r="R832" s="27"/>
      <c r="S832" s="27"/>
      <c r="T832" s="39"/>
    </row>
    <row r="833" spans="11:20" s="25" customFormat="1">
      <c r="K833" s="27"/>
      <c r="L833" s="27"/>
      <c r="M833" s="27"/>
      <c r="N833" s="27"/>
      <c r="O833" s="84"/>
      <c r="P833" s="27"/>
      <c r="Q833" s="27"/>
      <c r="R833" s="27"/>
      <c r="S833" s="27"/>
      <c r="T833" s="39"/>
    </row>
    <row r="834" spans="11:20" s="25" customFormat="1">
      <c r="K834" s="27"/>
      <c r="L834" s="27"/>
      <c r="M834" s="27"/>
      <c r="N834" s="27"/>
      <c r="O834" s="84"/>
      <c r="P834" s="27"/>
      <c r="Q834" s="27"/>
      <c r="R834" s="27"/>
      <c r="S834" s="27"/>
      <c r="T834" s="39"/>
    </row>
    <row r="835" spans="11:20" s="25" customFormat="1">
      <c r="K835" s="27"/>
      <c r="L835" s="27"/>
      <c r="M835" s="27"/>
      <c r="N835" s="27"/>
      <c r="O835" s="84"/>
      <c r="P835" s="27"/>
      <c r="Q835" s="27"/>
      <c r="R835" s="27"/>
      <c r="S835" s="27"/>
      <c r="T835" s="39"/>
    </row>
    <row r="836" spans="11:20" s="25" customFormat="1">
      <c r="K836" s="27"/>
      <c r="L836" s="27"/>
      <c r="M836" s="27"/>
      <c r="N836" s="27"/>
      <c r="O836" s="84"/>
      <c r="P836" s="27"/>
      <c r="Q836" s="27"/>
      <c r="R836" s="27"/>
      <c r="S836" s="27"/>
      <c r="T836" s="39"/>
    </row>
    <row r="837" spans="11:20" s="25" customFormat="1">
      <c r="K837" s="27"/>
      <c r="L837" s="27"/>
      <c r="M837" s="27"/>
      <c r="N837" s="27"/>
      <c r="O837" s="84"/>
      <c r="P837" s="27"/>
      <c r="Q837" s="27"/>
      <c r="R837" s="27"/>
      <c r="S837" s="27"/>
      <c r="T837" s="39"/>
    </row>
    <row r="838" spans="11:20" s="25" customFormat="1">
      <c r="K838" s="27"/>
      <c r="L838" s="27"/>
      <c r="M838" s="27"/>
      <c r="N838" s="27"/>
      <c r="O838" s="84"/>
      <c r="P838" s="27"/>
      <c r="Q838" s="27"/>
      <c r="R838" s="27"/>
      <c r="S838" s="27"/>
      <c r="T838" s="39"/>
    </row>
    <row r="839" spans="11:20" s="25" customFormat="1">
      <c r="K839" s="27"/>
      <c r="L839" s="27"/>
      <c r="M839" s="27"/>
      <c r="N839" s="27"/>
      <c r="O839" s="84"/>
      <c r="P839" s="27"/>
      <c r="Q839" s="27"/>
      <c r="R839" s="27"/>
      <c r="S839" s="27"/>
      <c r="T839" s="39"/>
    </row>
    <row r="840" spans="11:20" s="25" customFormat="1">
      <c r="K840" s="27"/>
      <c r="L840" s="27"/>
      <c r="M840" s="27"/>
      <c r="N840" s="27"/>
      <c r="O840" s="84"/>
      <c r="P840" s="27"/>
      <c r="Q840" s="27"/>
      <c r="R840" s="27"/>
      <c r="S840" s="27"/>
      <c r="T840" s="39"/>
    </row>
    <row r="841" spans="11:20" s="25" customFormat="1">
      <c r="K841" s="27"/>
      <c r="L841" s="27"/>
      <c r="M841" s="27"/>
      <c r="N841" s="27"/>
      <c r="O841" s="84"/>
      <c r="P841" s="27"/>
      <c r="Q841" s="27"/>
      <c r="R841" s="27"/>
      <c r="S841" s="27"/>
      <c r="T841" s="39"/>
    </row>
    <row r="842" spans="11:20" s="25" customFormat="1">
      <c r="K842" s="27"/>
      <c r="L842" s="27"/>
      <c r="M842" s="27"/>
      <c r="N842" s="27"/>
      <c r="O842" s="84"/>
      <c r="P842" s="27"/>
      <c r="Q842" s="27"/>
      <c r="R842" s="27"/>
      <c r="S842" s="27"/>
      <c r="T842" s="39"/>
    </row>
    <row r="843" spans="11:20" s="25" customFormat="1">
      <c r="K843" s="27"/>
      <c r="L843" s="27"/>
      <c r="M843" s="27"/>
      <c r="N843" s="27"/>
      <c r="O843" s="84"/>
      <c r="P843" s="27"/>
      <c r="Q843" s="27"/>
      <c r="R843" s="27"/>
      <c r="S843" s="27"/>
      <c r="T843" s="39"/>
    </row>
    <row r="844" spans="11:20" s="25" customFormat="1">
      <c r="K844" s="27"/>
      <c r="L844" s="27"/>
      <c r="M844" s="27"/>
      <c r="N844" s="27"/>
      <c r="O844" s="84"/>
      <c r="P844" s="27"/>
      <c r="Q844" s="27"/>
      <c r="R844" s="27"/>
      <c r="S844" s="27"/>
      <c r="T844" s="39"/>
    </row>
    <row r="845" spans="11:20" s="25" customFormat="1">
      <c r="K845" s="27"/>
      <c r="L845" s="27"/>
      <c r="M845" s="27"/>
      <c r="N845" s="27"/>
      <c r="O845" s="84"/>
      <c r="P845" s="27"/>
      <c r="Q845" s="27"/>
      <c r="R845" s="27"/>
      <c r="S845" s="27"/>
      <c r="T845" s="39"/>
    </row>
    <row r="846" spans="11:20" s="25" customFormat="1">
      <c r="K846" s="27"/>
      <c r="L846" s="27"/>
      <c r="M846" s="27"/>
      <c r="N846" s="27"/>
      <c r="O846" s="84"/>
      <c r="P846" s="27"/>
      <c r="Q846" s="27"/>
      <c r="R846" s="27"/>
      <c r="S846" s="27"/>
      <c r="T846" s="39"/>
    </row>
    <row r="847" spans="11:20" s="25" customFormat="1">
      <c r="K847" s="27"/>
      <c r="L847" s="27"/>
      <c r="M847" s="27"/>
      <c r="N847" s="27"/>
      <c r="O847" s="84"/>
      <c r="P847" s="27"/>
      <c r="Q847" s="27"/>
      <c r="R847" s="27"/>
      <c r="S847" s="27"/>
      <c r="T847" s="39"/>
    </row>
    <row r="848" spans="11:20" s="25" customFormat="1">
      <c r="K848" s="27"/>
      <c r="L848" s="27"/>
      <c r="M848" s="27"/>
      <c r="N848" s="27"/>
      <c r="O848" s="84"/>
      <c r="P848" s="27"/>
      <c r="Q848" s="27"/>
      <c r="R848" s="27"/>
      <c r="S848" s="27"/>
      <c r="T848" s="39"/>
    </row>
    <row r="849" spans="11:20" s="25" customFormat="1">
      <c r="K849" s="27"/>
      <c r="L849" s="27"/>
      <c r="M849" s="27"/>
      <c r="N849" s="27"/>
      <c r="O849" s="84"/>
      <c r="P849" s="27"/>
      <c r="Q849" s="27"/>
      <c r="R849" s="27"/>
      <c r="S849" s="27"/>
      <c r="T849" s="39"/>
    </row>
    <row r="850" spans="11:20" s="25" customFormat="1">
      <c r="K850" s="27"/>
      <c r="L850" s="27"/>
      <c r="M850" s="27"/>
      <c r="N850" s="27"/>
      <c r="O850" s="84"/>
      <c r="P850" s="27"/>
      <c r="Q850" s="27"/>
      <c r="R850" s="27"/>
      <c r="S850" s="27"/>
      <c r="T850" s="39"/>
    </row>
    <row r="851" spans="11:20" s="25" customFormat="1">
      <c r="K851" s="27"/>
      <c r="L851" s="27"/>
      <c r="M851" s="27"/>
      <c r="N851" s="27"/>
      <c r="O851" s="84"/>
      <c r="P851" s="27"/>
      <c r="Q851" s="27"/>
      <c r="R851" s="27"/>
      <c r="S851" s="27"/>
      <c r="T851" s="39"/>
    </row>
    <row r="852" spans="11:20" s="25" customFormat="1">
      <c r="K852" s="27"/>
      <c r="L852" s="27"/>
      <c r="M852" s="27"/>
      <c r="N852" s="27"/>
      <c r="O852" s="84"/>
      <c r="P852" s="27"/>
      <c r="Q852" s="27"/>
      <c r="R852" s="27"/>
      <c r="S852" s="27"/>
      <c r="T852" s="39"/>
    </row>
    <row r="853" spans="11:20" s="25" customFormat="1">
      <c r="K853" s="27"/>
      <c r="L853" s="27"/>
      <c r="M853" s="27"/>
      <c r="N853" s="27"/>
      <c r="O853" s="84"/>
      <c r="P853" s="27"/>
      <c r="Q853" s="27"/>
      <c r="R853" s="27"/>
      <c r="S853" s="27"/>
      <c r="T853" s="39"/>
    </row>
    <row r="854" spans="11:20" s="25" customFormat="1">
      <c r="K854" s="27"/>
      <c r="L854" s="27"/>
      <c r="M854" s="27"/>
      <c r="N854" s="27"/>
      <c r="O854" s="84"/>
      <c r="P854" s="27"/>
      <c r="Q854" s="27"/>
      <c r="R854" s="27"/>
      <c r="S854" s="27"/>
      <c r="T854" s="39"/>
    </row>
    <row r="855" spans="11:20" s="25" customFormat="1">
      <c r="K855" s="27"/>
      <c r="L855" s="27"/>
      <c r="M855" s="27"/>
      <c r="N855" s="27"/>
      <c r="O855" s="84"/>
      <c r="P855" s="27"/>
      <c r="Q855" s="27"/>
      <c r="R855" s="27"/>
      <c r="S855" s="27"/>
      <c r="T855" s="39"/>
    </row>
    <row r="856" spans="11:20" s="25" customFormat="1">
      <c r="K856" s="27"/>
      <c r="L856" s="27"/>
      <c r="M856" s="27"/>
      <c r="N856" s="27"/>
      <c r="O856" s="84"/>
      <c r="P856" s="27"/>
      <c r="Q856" s="27"/>
      <c r="R856" s="27"/>
      <c r="S856" s="27"/>
      <c r="T856" s="39"/>
    </row>
    <row r="857" spans="11:20" s="25" customFormat="1">
      <c r="K857" s="27"/>
      <c r="L857" s="27"/>
      <c r="M857" s="27"/>
      <c r="N857" s="27"/>
      <c r="O857" s="84"/>
      <c r="P857" s="27"/>
      <c r="Q857" s="27"/>
      <c r="R857" s="27"/>
      <c r="S857" s="27"/>
      <c r="T857" s="39"/>
    </row>
    <row r="858" spans="11:20" s="25" customFormat="1">
      <c r="K858" s="27"/>
      <c r="L858" s="27"/>
      <c r="M858" s="27"/>
      <c r="N858" s="27"/>
      <c r="O858" s="84"/>
      <c r="P858" s="27"/>
      <c r="Q858" s="27"/>
      <c r="R858" s="27"/>
      <c r="S858" s="27"/>
      <c r="T858" s="39"/>
    </row>
    <row r="859" spans="11:20" s="25" customFormat="1">
      <c r="K859" s="27"/>
      <c r="L859" s="27"/>
      <c r="M859" s="27"/>
      <c r="N859" s="27"/>
      <c r="O859" s="84"/>
      <c r="P859" s="27"/>
      <c r="Q859" s="27"/>
      <c r="R859" s="27"/>
      <c r="S859" s="27"/>
      <c r="T859" s="39"/>
    </row>
    <row r="860" spans="11:20" s="25" customFormat="1">
      <c r="K860" s="27"/>
      <c r="L860" s="27"/>
      <c r="M860" s="27"/>
      <c r="N860" s="27"/>
      <c r="O860" s="84"/>
      <c r="P860" s="27"/>
      <c r="Q860" s="27"/>
      <c r="R860" s="27"/>
      <c r="S860" s="27"/>
      <c r="T860" s="39"/>
    </row>
    <row r="861" spans="11:20" s="25" customFormat="1">
      <c r="K861" s="27"/>
      <c r="L861" s="27"/>
      <c r="M861" s="27"/>
      <c r="N861" s="27"/>
      <c r="O861" s="84"/>
      <c r="P861" s="27"/>
      <c r="Q861" s="27"/>
      <c r="R861" s="27"/>
      <c r="S861" s="27"/>
      <c r="T861" s="39"/>
    </row>
    <row r="862" spans="11:20" s="25" customFormat="1">
      <c r="K862" s="27"/>
      <c r="L862" s="27"/>
      <c r="M862" s="27"/>
      <c r="N862" s="27"/>
      <c r="O862" s="84"/>
      <c r="P862" s="27"/>
      <c r="Q862" s="27"/>
      <c r="R862" s="27"/>
      <c r="S862" s="27"/>
      <c r="T862" s="39"/>
    </row>
    <row r="863" spans="11:20" s="25" customFormat="1">
      <c r="K863" s="27"/>
      <c r="L863" s="27"/>
      <c r="M863" s="27"/>
      <c r="N863" s="27"/>
      <c r="O863" s="84"/>
      <c r="P863" s="27"/>
      <c r="Q863" s="27"/>
      <c r="R863" s="27"/>
      <c r="S863" s="27"/>
      <c r="T863" s="39"/>
    </row>
    <row r="864" spans="11:20" s="25" customFormat="1">
      <c r="K864" s="27"/>
      <c r="L864" s="27"/>
      <c r="M864" s="27"/>
      <c r="N864" s="27"/>
      <c r="O864" s="84"/>
      <c r="P864" s="27"/>
      <c r="Q864" s="27"/>
      <c r="R864" s="27"/>
      <c r="S864" s="27"/>
      <c r="T864" s="39"/>
    </row>
    <row r="865" spans="1:347" s="25" customFormat="1">
      <c r="K865" s="27"/>
      <c r="L865" s="27"/>
      <c r="M865" s="27"/>
      <c r="N865" s="27"/>
      <c r="O865" s="84"/>
      <c r="P865" s="27"/>
      <c r="Q865" s="27"/>
      <c r="R865" s="27"/>
      <c r="S865" s="27"/>
      <c r="T865" s="39"/>
    </row>
    <row r="866" spans="1:347" s="25" customFormat="1">
      <c r="K866" s="27"/>
      <c r="L866" s="27"/>
      <c r="M866" s="27"/>
      <c r="N866" s="27"/>
      <c r="O866" s="84"/>
      <c r="P866" s="27"/>
      <c r="Q866" s="27"/>
      <c r="R866" s="27"/>
      <c r="S866" s="27"/>
      <c r="T866" s="39"/>
    </row>
    <row r="867" spans="1:347" s="25" customFormat="1">
      <c r="K867" s="27"/>
      <c r="L867" s="27"/>
      <c r="M867" s="27"/>
      <c r="N867" s="27"/>
      <c r="O867" s="84"/>
      <c r="P867" s="27"/>
      <c r="Q867" s="27"/>
      <c r="R867" s="27"/>
      <c r="S867" s="27"/>
      <c r="T867" s="39"/>
    </row>
    <row r="868" spans="1:347" s="25" customFormat="1">
      <c r="K868" s="27"/>
      <c r="L868" s="27"/>
      <c r="M868" s="27"/>
      <c r="N868" s="27"/>
      <c r="O868" s="84"/>
      <c r="P868" s="27"/>
      <c r="Q868" s="27"/>
      <c r="R868" s="27"/>
      <c r="S868" s="27"/>
      <c r="T868" s="39"/>
    </row>
    <row r="869" spans="1:347" s="25" customFormat="1">
      <c r="K869" s="27"/>
      <c r="L869" s="27"/>
      <c r="M869" s="27"/>
      <c r="N869" s="27"/>
      <c r="O869" s="84"/>
      <c r="P869" s="27"/>
      <c r="Q869" s="27"/>
      <c r="R869" s="27"/>
      <c r="S869" s="27"/>
      <c r="T869" s="39"/>
    </row>
    <row r="870" spans="1:347" s="25" customFormat="1">
      <c r="K870" s="27"/>
      <c r="L870" s="27"/>
      <c r="M870" s="27"/>
      <c r="N870" s="27"/>
      <c r="O870" s="84"/>
      <c r="P870" s="27"/>
      <c r="Q870" s="27"/>
      <c r="R870" s="27"/>
      <c r="S870" s="27"/>
      <c r="T870" s="39"/>
    </row>
    <row r="871" spans="1:347" s="25" customFormat="1">
      <c r="K871" s="27"/>
      <c r="L871" s="27"/>
      <c r="M871" s="27"/>
      <c r="N871" s="27"/>
      <c r="O871" s="84"/>
      <c r="P871" s="27"/>
      <c r="Q871" s="27"/>
      <c r="R871" s="27"/>
      <c r="S871" s="27"/>
      <c r="T871" s="39"/>
    </row>
    <row r="872" spans="1:347" s="25" customFormat="1">
      <c r="K872" s="27"/>
      <c r="L872" s="27"/>
      <c r="M872" s="27"/>
      <c r="N872" s="27"/>
      <c r="O872" s="84"/>
      <c r="P872" s="27"/>
      <c r="Q872" s="27"/>
      <c r="R872" s="27"/>
      <c r="S872" s="27"/>
      <c r="T872" s="39"/>
    </row>
    <row r="873" spans="1:347" s="25" customFormat="1">
      <c r="K873" s="27"/>
      <c r="L873" s="27"/>
      <c r="M873" s="27"/>
      <c r="N873" s="27"/>
      <c r="O873" s="84"/>
      <c r="P873" s="27"/>
      <c r="Q873" s="27"/>
      <c r="R873" s="27"/>
      <c r="S873" s="27"/>
      <c r="T873" s="39"/>
    </row>
    <row r="874" spans="1:347" s="25" customFormat="1">
      <c r="K874" s="27"/>
      <c r="L874" s="27"/>
      <c r="M874" s="27"/>
      <c r="N874" s="27"/>
      <c r="O874" s="84"/>
      <c r="P874" s="27"/>
      <c r="Q874" s="27"/>
      <c r="R874" s="27"/>
      <c r="S874" s="27"/>
      <c r="T874" s="39"/>
    </row>
    <row r="875" spans="1:347" s="25" customFormat="1">
      <c r="K875" s="27"/>
      <c r="L875" s="27"/>
      <c r="M875" s="27"/>
      <c r="N875" s="27"/>
      <c r="O875" s="84"/>
      <c r="P875" s="27"/>
      <c r="Q875" s="27"/>
      <c r="R875" s="27"/>
      <c r="S875" s="27"/>
      <c r="T875" s="39"/>
    </row>
    <row r="876" spans="1:347" s="25" customFormat="1">
      <c r="K876" s="27"/>
      <c r="L876" s="27"/>
      <c r="M876" s="27"/>
      <c r="N876" s="27"/>
      <c r="O876" s="84"/>
      <c r="P876" s="27"/>
      <c r="Q876" s="27"/>
      <c r="R876" s="27"/>
      <c r="S876" s="27"/>
      <c r="T876" s="39"/>
    </row>
    <row r="877" spans="1:347" s="25" customFormat="1">
      <c r="K877" s="27"/>
      <c r="L877" s="27"/>
      <c r="M877" s="27"/>
      <c r="N877" s="27"/>
      <c r="O877" s="84"/>
      <c r="P877" s="27"/>
      <c r="Q877" s="27"/>
      <c r="R877" s="27"/>
      <c r="S877" s="27"/>
      <c r="T877" s="39"/>
    </row>
    <row r="878" spans="1:347" s="25" customFormat="1">
      <c r="K878" s="27"/>
      <c r="L878" s="27"/>
      <c r="M878" s="27"/>
      <c r="N878" s="27"/>
      <c r="O878" s="84"/>
      <c r="P878" s="27"/>
      <c r="Q878" s="27"/>
      <c r="R878" s="27"/>
      <c r="S878" s="27"/>
      <c r="T878" s="39"/>
    </row>
    <row r="879" spans="1:347" s="25" customFormat="1">
      <c r="K879" s="27"/>
      <c r="L879" s="27"/>
      <c r="M879" s="27"/>
      <c r="N879" s="27"/>
      <c r="O879" s="84"/>
      <c r="P879" s="27"/>
      <c r="Q879" s="27"/>
      <c r="R879" s="27"/>
      <c r="S879" s="27"/>
      <c r="T879" s="39"/>
    </row>
    <row r="880" spans="1:347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7"/>
      <c r="L880" s="27"/>
      <c r="M880" s="27"/>
      <c r="N880" s="27"/>
      <c r="O880" s="84"/>
      <c r="P880" s="27"/>
      <c r="Q880" s="27"/>
      <c r="R880" s="27"/>
      <c r="S880" s="27"/>
      <c r="T880" s="39"/>
      <c r="U880" s="25"/>
      <c r="V880" s="25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/>
      <c r="IM880" s="6"/>
      <c r="IN880" s="6"/>
      <c r="IO880" s="6"/>
      <c r="IP880" s="6"/>
      <c r="IQ880" s="6"/>
      <c r="IR880" s="6"/>
      <c r="IS880" s="6"/>
      <c r="IT880" s="6"/>
      <c r="IU880" s="6"/>
      <c r="IV880" s="6"/>
      <c r="IW880" s="6"/>
      <c r="IX880" s="6"/>
      <c r="IY880" s="6"/>
      <c r="IZ880" s="6"/>
      <c r="JA880" s="6"/>
      <c r="JB880" s="6"/>
      <c r="JC880" s="6"/>
      <c r="JD880" s="6"/>
      <c r="JE880" s="6"/>
      <c r="JF880" s="6"/>
      <c r="JG880" s="6"/>
      <c r="JH880" s="6"/>
      <c r="JI880" s="6"/>
      <c r="JJ880" s="6"/>
      <c r="JK880" s="6"/>
      <c r="JL880" s="6"/>
      <c r="JM880" s="6"/>
      <c r="JN880" s="6"/>
      <c r="JO880" s="6"/>
      <c r="JP880" s="6"/>
      <c r="JQ880" s="6"/>
      <c r="JR880" s="6"/>
      <c r="JS880" s="6"/>
      <c r="JT880" s="6"/>
      <c r="JU880" s="6"/>
      <c r="JV880" s="6"/>
      <c r="JW880" s="6"/>
      <c r="JX880" s="6"/>
      <c r="JY880" s="6"/>
      <c r="JZ880" s="6"/>
      <c r="KA880" s="6"/>
      <c r="KB880" s="6"/>
      <c r="KC880" s="6"/>
      <c r="KD880" s="6"/>
      <c r="KE880" s="6"/>
      <c r="KF880" s="6"/>
      <c r="KG880" s="6"/>
      <c r="KH880" s="6"/>
      <c r="KI880" s="6"/>
      <c r="KJ880" s="6"/>
      <c r="KK880" s="6"/>
      <c r="KL880" s="6"/>
      <c r="KM880" s="6"/>
      <c r="KN880" s="6"/>
      <c r="KO880" s="6"/>
      <c r="KP880" s="6"/>
      <c r="KQ880" s="6"/>
      <c r="KR880" s="6"/>
      <c r="KS880" s="6"/>
      <c r="KT880" s="6"/>
      <c r="KU880" s="6"/>
      <c r="KV880" s="6"/>
      <c r="KW880" s="6"/>
      <c r="KX880" s="6"/>
      <c r="KY880" s="6"/>
      <c r="KZ880" s="6"/>
      <c r="LA880" s="6"/>
      <c r="LB880" s="6"/>
      <c r="LC880" s="6"/>
      <c r="LD880" s="6"/>
      <c r="LE880" s="6"/>
      <c r="LF880" s="6"/>
      <c r="LG880" s="6"/>
      <c r="LH880" s="6"/>
      <c r="LI880" s="6"/>
      <c r="LJ880" s="6"/>
      <c r="LK880" s="6"/>
      <c r="LL880" s="6"/>
      <c r="LM880" s="6"/>
      <c r="LN880" s="6"/>
      <c r="LO880" s="6"/>
      <c r="LP880" s="6"/>
      <c r="LQ880" s="6"/>
      <c r="LR880" s="6"/>
      <c r="LS880" s="6"/>
      <c r="LT880" s="6"/>
      <c r="LU880" s="6"/>
      <c r="LV880" s="6"/>
      <c r="LW880" s="6"/>
      <c r="LX880" s="6"/>
      <c r="LY880" s="6"/>
      <c r="LZ880" s="6"/>
      <c r="MA880" s="6"/>
      <c r="MB880" s="6"/>
      <c r="MC880" s="6"/>
      <c r="MD880" s="6"/>
      <c r="ME880" s="6"/>
      <c r="MF880" s="6"/>
      <c r="MG880" s="6"/>
      <c r="MH880" s="6"/>
      <c r="MI880" s="6"/>
    </row>
    <row r="881" spans="1:2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7"/>
      <c r="L881" s="27"/>
      <c r="M881" s="27"/>
      <c r="N881" s="27"/>
      <c r="O881" s="84"/>
      <c r="P881" s="27"/>
      <c r="Q881" s="27"/>
      <c r="R881" s="27"/>
      <c r="S881" s="27"/>
      <c r="T881" s="39"/>
      <c r="U881" s="28"/>
    </row>
  </sheetData>
  <sheetProtection sort="0" autoFilter="0"/>
  <autoFilter ref="A2:MI351" xr:uid="{00000000-0009-0000-0000-000002000000}"/>
  <mergeCells count="27">
    <mergeCell ref="F385:I385"/>
    <mergeCell ref="K385:L385"/>
    <mergeCell ref="T385:U385"/>
    <mergeCell ref="A351:U351"/>
    <mergeCell ref="B1:B2"/>
    <mergeCell ref="C1:C2"/>
    <mergeCell ref="D1:D2"/>
    <mergeCell ref="E1:E2"/>
    <mergeCell ref="F1:F2"/>
    <mergeCell ref="G1:G2"/>
    <mergeCell ref="I1:I2"/>
    <mergeCell ref="K1:K2"/>
    <mergeCell ref="L1:Q1"/>
    <mergeCell ref="A1:A2"/>
    <mergeCell ref="H1:H2"/>
    <mergeCell ref="R1:R2"/>
    <mergeCell ref="J1:J2"/>
    <mergeCell ref="AD1:AD2"/>
    <mergeCell ref="S1:S2"/>
    <mergeCell ref="T1:T2"/>
    <mergeCell ref="U1:U2"/>
    <mergeCell ref="V1:V2"/>
    <mergeCell ref="W1:W2"/>
    <mergeCell ref="Y1:Y2"/>
    <mergeCell ref="Z1:Z2"/>
    <mergeCell ref="AA1:AA2"/>
    <mergeCell ref="AC1:AC2"/>
  </mergeCells>
  <pageMargins left="0.15748031496062992" right="0.15748031496062992" top="0.62992125984251968" bottom="0.31496062992125984" header="0.27559055118110237" footer="0.11811023622047245"/>
  <pageSetup paperSize="9" scale="52" orientation="landscape" r:id="rId1"/>
  <headerFooter>
    <oddHeader>&amp;C&amp;"-,Negrito"&amp;12PLANILHA DE COMPOSIÇÃO DE CUSTOSRELATÓRIO DE CUSTO DETALHADO</oddHeader>
    <oddFooter>&amp;R&amp;P/&amp;N</oddFooter>
  </headerFooter>
  <ignoredErrors>
    <ignoredError sqref="Q5 Q12:Q13 M13 M12 Q10 Q18" formula="1"/>
    <ignoredError sqref="Y29:AA351 AA23 AA24 AA25 AA26 AA27 AA28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34"/>
  <sheetViews>
    <sheetView zoomScaleNormal="100" workbookViewId="0">
      <pane ySplit="2" topLeftCell="A3" activePane="bottomLeft" state="frozen"/>
      <selection pane="bottomLeft" sqref="A1:D1"/>
      <selection sqref="A1:H1"/>
    </sheetView>
  </sheetViews>
  <sheetFormatPr defaultColWidth="9.140625" defaultRowHeight="15"/>
  <cols>
    <col min="1" max="1" width="12.28515625" style="1" customWidth="1"/>
    <col min="2" max="4" width="25.7109375" style="1" customWidth="1"/>
    <col min="5" max="16384" width="9.140625" style="1"/>
  </cols>
  <sheetData>
    <row r="1" spans="1:5" ht="18.75" customHeight="1">
      <c r="A1" s="378" t="s">
        <v>230</v>
      </c>
      <c r="B1" s="378"/>
      <c r="C1" s="378"/>
      <c r="D1" s="378"/>
      <c r="E1" s="20"/>
    </row>
    <row r="2" spans="1:5" ht="30.75" customHeight="1">
      <c r="A2" s="38" t="s">
        <v>231</v>
      </c>
      <c r="B2" s="38" t="s">
        <v>232</v>
      </c>
      <c r="C2" s="38" t="s">
        <v>233</v>
      </c>
      <c r="D2" s="38" t="s">
        <v>234</v>
      </c>
      <c r="E2" s="32"/>
    </row>
    <row r="3" spans="1:5">
      <c r="A3" s="4">
        <v>1</v>
      </c>
      <c r="B3" s="35">
        <f>IF(A3&lt;='Indicadores Financeiros'!$F$13,SUMIF('Relatório Custo'!$F:$F,"&lt;="&amp;$A3,'Relatório Custo'!$V:$V),0)</f>
        <v>256496.28999999995</v>
      </c>
      <c r="C3" s="35">
        <f>IF(A3&lt;='Indicadores Financeiros'!$F$13,SUMIF('Relatório Custo'!$F:$F,"&lt;="&amp;$A3,'Relatório Custo'!$Y:$Y),0)</f>
        <v>66100.479999999996</v>
      </c>
      <c r="D3" s="35">
        <f>IF(A3&lt;='Indicadores Financeiros'!$F$13,SUMIF('Relatório Custo'!$F:$F,"&lt;="&amp;$A3,'Relatório Custo'!$AA:$AA),0)</f>
        <v>21145.56</v>
      </c>
      <c r="E3" s="33"/>
    </row>
    <row r="4" spans="1:5">
      <c r="A4" s="4">
        <v>2</v>
      </c>
      <c r="B4" s="35">
        <f>IF(A4&lt;='Indicadores Financeiros'!$F$13,SUMIF('Relatório Custo'!$F:$F,"&lt;="&amp;$A4,'Relatório Custo'!$V:$V),0)</f>
        <v>256496.28999999995</v>
      </c>
      <c r="C4" s="35">
        <f>IF(A4&lt;='Indicadores Financeiros'!$F$13,SUMIF('Relatório Custo'!$F:$F,"&lt;="&amp;$A4,'Relatório Custo'!$Y:$Y),0)</f>
        <v>66100.479999999996</v>
      </c>
      <c r="D4" s="35">
        <f>IF(A4&lt;='Indicadores Financeiros'!$F$13,SUMIF('Relatório Custo'!$F:$F,"&lt;="&amp;$A4,'Relatório Custo'!$AA:$AA),0)</f>
        <v>21145.56</v>
      </c>
      <c r="E4" s="33"/>
    </row>
    <row r="5" spans="1:5">
      <c r="A5" s="4">
        <v>3</v>
      </c>
      <c r="B5" s="35">
        <f>IF(A5&lt;='Indicadores Financeiros'!$F$13,SUMIF('Relatório Custo'!$F:$F,"&lt;="&amp;$A5,'Relatório Custo'!$V:$V),0)</f>
        <v>256496.28999999995</v>
      </c>
      <c r="C5" s="35">
        <f>IF(A5&lt;='Indicadores Financeiros'!$F$13,SUMIF('Relatório Custo'!$F:$F,"&lt;="&amp;$A5,'Relatório Custo'!$Y:$Y),0)</f>
        <v>66100.479999999996</v>
      </c>
      <c r="D5" s="35">
        <f>IF(A5&lt;='Indicadores Financeiros'!$F$13,SUMIF('Relatório Custo'!$F:$F,"&lt;="&amp;$A5,'Relatório Custo'!$AA:$AA),0)</f>
        <v>21145.56</v>
      </c>
      <c r="E5" s="33"/>
    </row>
    <row r="6" spans="1:5">
      <c r="A6" s="4">
        <v>4</v>
      </c>
      <c r="B6" s="35">
        <f>IF(A6&lt;='Indicadores Financeiros'!$F$13,SUMIF('Relatório Custo'!$F:$F,"&lt;="&amp;$A6,'Relatório Custo'!$V:$V),0)</f>
        <v>256496.28999999995</v>
      </c>
      <c r="C6" s="35">
        <f>IF(A6&lt;='Indicadores Financeiros'!$F$13,SUMIF('Relatório Custo'!$F:$F,"&lt;="&amp;$A6,'Relatório Custo'!$Y:$Y),0)</f>
        <v>66100.479999999996</v>
      </c>
      <c r="D6" s="35">
        <f>IF(A6&lt;='Indicadores Financeiros'!$F$13,SUMIF('Relatório Custo'!$F:$F,"&lt;="&amp;$A6,'Relatório Custo'!$AA:$AA),0)</f>
        <v>21145.56</v>
      </c>
      <c r="E6" s="33"/>
    </row>
    <row r="7" spans="1:5">
      <c r="A7" s="4">
        <v>5</v>
      </c>
      <c r="B7" s="35">
        <f>IF(A7&lt;='Indicadores Financeiros'!$F$13,SUMIF('Relatório Custo'!$F:$F,"&lt;="&amp;$A7,'Relatório Custo'!$V:$V),0)</f>
        <v>256496.28999999995</v>
      </c>
      <c r="C7" s="35">
        <f>IF(A7&lt;='Indicadores Financeiros'!$F$13,SUMIF('Relatório Custo'!$F:$F,"&lt;="&amp;$A7,'Relatório Custo'!$Y:$Y),0)</f>
        <v>66100.479999999996</v>
      </c>
      <c r="D7" s="35">
        <f>IF(A7&lt;='Indicadores Financeiros'!$F$13,SUMIF('Relatório Custo'!$F:$F,"&lt;="&amp;$A7,'Relatório Custo'!$AA:$AA),0)</f>
        <v>21145.56</v>
      </c>
      <c r="E7" s="33"/>
    </row>
    <row r="8" spans="1:5">
      <c r="A8" s="4">
        <v>6</v>
      </c>
      <c r="B8" s="35">
        <f>IF(A8&lt;='Indicadores Financeiros'!$F$13,SUMIF('Relatório Custo'!$F:$F,"&lt;="&amp;$A8,'Relatório Custo'!$V:$V),0)</f>
        <v>256496.28999999995</v>
      </c>
      <c r="C8" s="35">
        <f>IF(A8&lt;='Indicadores Financeiros'!$F$13,SUMIF('Relatório Custo'!$F:$F,"&lt;="&amp;$A8,'Relatório Custo'!$Y:$Y),0)</f>
        <v>66100.479999999996</v>
      </c>
      <c r="D8" s="35">
        <f>IF(A8&lt;='Indicadores Financeiros'!$F$13,SUMIF('Relatório Custo'!$F:$F,"&lt;="&amp;$A8,'Relatório Custo'!$AA:$AA),0)</f>
        <v>21145.56</v>
      </c>
      <c r="E8" s="33"/>
    </row>
    <row r="9" spans="1:5">
      <c r="A9" s="4">
        <v>7</v>
      </c>
      <c r="B9" s="35">
        <f>IF(A9&lt;='Indicadores Financeiros'!$F$13,SUMIF('Relatório Custo'!$F:$F,"&lt;="&amp;$A9,'Relatório Custo'!$V:$V),0)</f>
        <v>256496.28999999995</v>
      </c>
      <c r="C9" s="35">
        <f>IF(A9&lt;='Indicadores Financeiros'!$F$13,SUMIF('Relatório Custo'!$F:$F,"&lt;="&amp;$A9,'Relatório Custo'!$Y:$Y),0)</f>
        <v>66100.479999999996</v>
      </c>
      <c r="D9" s="35">
        <f>IF(A9&lt;='Indicadores Financeiros'!$F$13,SUMIF('Relatório Custo'!$F:$F,"&lt;="&amp;$A9,'Relatório Custo'!$AA:$AA),0)</f>
        <v>21145.56</v>
      </c>
      <c r="E9" s="33"/>
    </row>
    <row r="10" spans="1:5">
      <c r="A10" s="4">
        <v>8</v>
      </c>
      <c r="B10" s="35">
        <f>IF(A10&lt;='Indicadores Financeiros'!$F$13,SUMIF('Relatório Custo'!$F:$F,"&lt;="&amp;$A10,'Relatório Custo'!$V:$V),0)</f>
        <v>256496.28999999995</v>
      </c>
      <c r="C10" s="35">
        <f>IF(A10&lt;='Indicadores Financeiros'!$F$13,SUMIF('Relatório Custo'!$F:$F,"&lt;="&amp;$A10,'Relatório Custo'!$Y:$Y),0)</f>
        <v>66100.479999999996</v>
      </c>
      <c r="D10" s="35">
        <f>IF(A10&lt;='Indicadores Financeiros'!$F$13,SUMIF('Relatório Custo'!$F:$F,"&lt;="&amp;$A10,'Relatório Custo'!$AA:$AA),0)</f>
        <v>21145.56</v>
      </c>
      <c r="E10" s="33"/>
    </row>
    <row r="11" spans="1:5">
      <c r="A11" s="4">
        <v>9</v>
      </c>
      <c r="B11" s="35">
        <f>IF(A11&lt;='Indicadores Financeiros'!$F$13,SUMIF('Relatório Custo'!$F:$F,"&lt;="&amp;$A11,'Relatório Custo'!$V:$V),0)</f>
        <v>256496.28999999995</v>
      </c>
      <c r="C11" s="35">
        <f>IF(A11&lt;='Indicadores Financeiros'!$F$13,SUMIF('Relatório Custo'!$F:$F,"&lt;="&amp;$A11,'Relatório Custo'!$Y:$Y),0)</f>
        <v>66100.479999999996</v>
      </c>
      <c r="D11" s="35">
        <f>IF(A11&lt;='Indicadores Financeiros'!$F$13,SUMIF('Relatório Custo'!$F:$F,"&lt;="&amp;$A11,'Relatório Custo'!$AA:$AA),0)</f>
        <v>21145.56</v>
      </c>
      <c r="E11" s="33"/>
    </row>
    <row r="12" spans="1:5">
      <c r="A12" s="4">
        <v>10</v>
      </c>
      <c r="B12" s="35">
        <f>IF(A12&lt;='Indicadores Financeiros'!$F$13,SUMIF('Relatório Custo'!$F:$F,"&lt;="&amp;$A12,'Relatório Custo'!$V:$V),0)</f>
        <v>256496.28999999995</v>
      </c>
      <c r="C12" s="35">
        <f>IF(A12&lt;='Indicadores Financeiros'!$F$13,SUMIF('Relatório Custo'!$F:$F,"&lt;="&amp;$A12,'Relatório Custo'!$Y:$Y),0)</f>
        <v>66100.479999999996</v>
      </c>
      <c r="D12" s="35">
        <f>IF(A12&lt;='Indicadores Financeiros'!$F$13,SUMIF('Relatório Custo'!$F:$F,"&lt;="&amp;$A12,'Relatório Custo'!$AA:$AA),0)</f>
        <v>21145.56</v>
      </c>
      <c r="E12" s="33"/>
    </row>
    <row r="13" spans="1:5">
      <c r="A13" s="4">
        <v>11</v>
      </c>
      <c r="B13" s="35">
        <f>IF(A13&lt;='Indicadores Financeiros'!$F$13,SUMIF('Relatório Custo'!$F:$F,"&lt;="&amp;$A13,'Relatório Custo'!$V:$V),0)</f>
        <v>256496.28999999995</v>
      </c>
      <c r="C13" s="35">
        <f>IF(A13&lt;='Indicadores Financeiros'!$F$13,SUMIF('Relatório Custo'!$F:$F,"&lt;="&amp;$A13,'Relatório Custo'!$Y:$Y),0)</f>
        <v>66100.479999999996</v>
      </c>
      <c r="D13" s="35">
        <f>IF(A13&lt;='Indicadores Financeiros'!$F$13,SUMIF('Relatório Custo'!$F:$F,"&lt;="&amp;$A13,'Relatório Custo'!$AA:$AA),0)</f>
        <v>21145.56</v>
      </c>
      <c r="E13" s="33"/>
    </row>
    <row r="14" spans="1:5">
      <c r="A14" s="4">
        <v>12</v>
      </c>
      <c r="B14" s="35">
        <f>IF(A14&lt;='Indicadores Financeiros'!$F$13,SUMIF('Relatório Custo'!$F:$F,"&lt;="&amp;$A14,'Relatório Custo'!$V:$V),0)</f>
        <v>256496.28999999995</v>
      </c>
      <c r="C14" s="35">
        <f>IF(A14&lt;='Indicadores Financeiros'!$F$13,SUMIF('Relatório Custo'!$F:$F,"&lt;="&amp;$A14,'Relatório Custo'!$Y:$Y),0)</f>
        <v>66100.479999999996</v>
      </c>
      <c r="D14" s="35">
        <f>IF(A14&lt;='Indicadores Financeiros'!$F$13,SUMIF('Relatório Custo'!$F:$F,"&lt;="&amp;$A14,'Relatório Custo'!$AA:$AA),0)</f>
        <v>21145.56</v>
      </c>
      <c r="E14" s="33"/>
    </row>
    <row r="15" spans="1:5">
      <c r="A15" s="4">
        <v>13</v>
      </c>
      <c r="B15" s="35">
        <f>IF(A15&lt;='Indicadores Financeiros'!$F$13,SUMIF('Relatório Custo'!$F:$F,"&lt;="&amp;$A15,'Relatório Custo'!$V:$V),0)</f>
        <v>256496.28999999995</v>
      </c>
      <c r="C15" s="35">
        <f>IF(A15&lt;='Indicadores Financeiros'!$F$13,SUMIF('Relatório Custo'!$F:$F,"&lt;="&amp;$A15,'Relatório Custo'!$Y:$Y),0)</f>
        <v>66100.479999999996</v>
      </c>
      <c r="D15" s="35">
        <f>IF(A15&lt;='Indicadores Financeiros'!$F$13,SUMIF('Relatório Custo'!$F:$F,"&lt;="&amp;$A15,'Relatório Custo'!$AA:$AA),0)</f>
        <v>21145.56</v>
      </c>
      <c r="E15" s="33"/>
    </row>
    <row r="16" spans="1:5">
      <c r="A16" s="4">
        <v>14</v>
      </c>
      <c r="B16" s="35">
        <f>IF(A16&lt;='Indicadores Financeiros'!$F$13,SUMIF('Relatório Custo'!$F:$F,"&lt;="&amp;$A16,'Relatório Custo'!$V:$V),0)</f>
        <v>256496.28999999995</v>
      </c>
      <c r="C16" s="35">
        <f>IF(A16&lt;='Indicadores Financeiros'!$F$13,SUMIF('Relatório Custo'!$F:$F,"&lt;="&amp;$A16,'Relatório Custo'!$Y:$Y),0)</f>
        <v>66100.479999999996</v>
      </c>
      <c r="D16" s="35">
        <f>IF(A16&lt;='Indicadores Financeiros'!$F$13,SUMIF('Relatório Custo'!$F:$F,"&lt;="&amp;$A16,'Relatório Custo'!$AA:$AA),0)</f>
        <v>21145.56</v>
      </c>
      <c r="E16" s="33"/>
    </row>
    <row r="17" spans="1:5">
      <c r="A17" s="4">
        <v>15</v>
      </c>
      <c r="B17" s="35">
        <f>IF(A17&lt;='Indicadores Financeiros'!$F$13,SUMIF('Relatório Custo'!$F:$F,"&lt;="&amp;$A17,'Relatório Custo'!$V:$V),0)</f>
        <v>256496.28999999995</v>
      </c>
      <c r="C17" s="35">
        <f>IF(A17&lt;='Indicadores Financeiros'!$F$13,SUMIF('Relatório Custo'!$F:$F,"&lt;="&amp;$A17,'Relatório Custo'!$Y:$Y),0)</f>
        <v>66100.479999999996</v>
      </c>
      <c r="D17" s="35">
        <f>IF(A17&lt;='Indicadores Financeiros'!$F$13,SUMIF('Relatório Custo'!$F:$F,"&lt;="&amp;$A17,'Relatório Custo'!$AA:$AA),0)</f>
        <v>21145.56</v>
      </c>
      <c r="E17" s="33"/>
    </row>
    <row r="18" spans="1:5">
      <c r="A18" s="4">
        <v>16</v>
      </c>
      <c r="B18" s="35">
        <f>IF(A18&lt;='Indicadores Financeiros'!$F$13,SUMIF('Relatório Custo'!$F:$F,"&lt;="&amp;$A18,'Relatório Custo'!$V:$V),0)</f>
        <v>256496.28999999995</v>
      </c>
      <c r="C18" s="35">
        <f>IF(A18&lt;='Indicadores Financeiros'!$F$13,SUMIF('Relatório Custo'!$F:$F,"&lt;="&amp;$A18,'Relatório Custo'!$Y:$Y),0)</f>
        <v>66100.479999999996</v>
      </c>
      <c r="D18" s="35">
        <f>IF(A18&lt;='Indicadores Financeiros'!$F$13,SUMIF('Relatório Custo'!$F:$F,"&lt;="&amp;$A18,'Relatório Custo'!$AA:$AA),0)</f>
        <v>21145.56</v>
      </c>
      <c r="E18" s="33"/>
    </row>
    <row r="19" spans="1:5">
      <c r="A19" s="4">
        <v>17</v>
      </c>
      <c r="B19" s="35">
        <f>IF(A19&lt;='Indicadores Financeiros'!$F$13,SUMIF('Relatório Custo'!$F:$F,"&lt;="&amp;$A19,'Relatório Custo'!$V:$V),0)</f>
        <v>256496.28999999995</v>
      </c>
      <c r="C19" s="35">
        <f>IF(A19&lt;='Indicadores Financeiros'!$F$13,SUMIF('Relatório Custo'!$F:$F,"&lt;="&amp;$A19,'Relatório Custo'!$Y:$Y),0)</f>
        <v>66100.479999999996</v>
      </c>
      <c r="D19" s="35">
        <f>IF(A19&lt;='Indicadores Financeiros'!$F$13,SUMIF('Relatório Custo'!$F:$F,"&lt;="&amp;$A19,'Relatório Custo'!$AA:$AA),0)</f>
        <v>21145.56</v>
      </c>
      <c r="E19" s="33"/>
    </row>
    <row r="20" spans="1:5">
      <c r="A20" s="4">
        <v>18</v>
      </c>
      <c r="B20" s="35">
        <f>IF(A20&lt;='Indicadores Financeiros'!$F$13,SUMIF('Relatório Custo'!$F:$F,"&lt;="&amp;$A20,'Relatório Custo'!$V:$V),0)</f>
        <v>256496.28999999995</v>
      </c>
      <c r="C20" s="35">
        <f>IF(A20&lt;='Indicadores Financeiros'!$F$13,SUMIF('Relatório Custo'!$F:$F,"&lt;="&amp;$A20,'Relatório Custo'!$Y:$Y),0)</f>
        <v>66100.479999999996</v>
      </c>
      <c r="D20" s="35">
        <f>IF(A20&lt;='Indicadores Financeiros'!$F$13,SUMIF('Relatório Custo'!$F:$F,"&lt;="&amp;$A20,'Relatório Custo'!$AA:$AA),0)</f>
        <v>21145.56</v>
      </c>
      <c r="E20" s="33"/>
    </row>
    <row r="21" spans="1:5">
      <c r="A21" s="4">
        <v>19</v>
      </c>
      <c r="B21" s="35">
        <f>IF(A21&lt;='Indicadores Financeiros'!$F$13,SUMIF('Relatório Custo'!$F:$F,"&lt;="&amp;$A21,'Relatório Custo'!$V:$V),0)</f>
        <v>256496.28999999995</v>
      </c>
      <c r="C21" s="35">
        <f>IF(A21&lt;='Indicadores Financeiros'!$F$13,SUMIF('Relatório Custo'!$F:$F,"&lt;="&amp;$A21,'Relatório Custo'!$Y:$Y),0)</f>
        <v>66100.479999999996</v>
      </c>
      <c r="D21" s="35">
        <f>IF(A21&lt;='Indicadores Financeiros'!$F$13,SUMIF('Relatório Custo'!$F:$F,"&lt;="&amp;$A21,'Relatório Custo'!$AA:$AA),0)</f>
        <v>21145.56</v>
      </c>
      <c r="E21" s="33"/>
    </row>
    <row r="22" spans="1:5">
      <c r="A22" s="4">
        <v>20</v>
      </c>
      <c r="B22" s="35">
        <f>IF(A22&lt;='Indicadores Financeiros'!$F$13,SUMIF('Relatório Custo'!$F:$F,"&lt;="&amp;$A22,'Relatório Custo'!$V:$V),0)</f>
        <v>256496.28999999995</v>
      </c>
      <c r="C22" s="35">
        <f>IF(A22&lt;='Indicadores Financeiros'!$F$13,SUMIF('Relatório Custo'!$F:$F,"&lt;="&amp;$A22,'Relatório Custo'!$Y:$Y),0)</f>
        <v>66100.479999999996</v>
      </c>
      <c r="D22" s="35">
        <f>IF(A22&lt;='Indicadores Financeiros'!$F$13,SUMIF('Relatório Custo'!$F:$F,"&lt;="&amp;$A22,'Relatório Custo'!$AA:$AA),0)</f>
        <v>21145.56</v>
      </c>
      <c r="E22" s="33"/>
    </row>
    <row r="23" spans="1:5">
      <c r="A23" s="4">
        <f t="shared" ref="A23:A32" si="0">A22+1</f>
        <v>21</v>
      </c>
      <c r="B23" s="35">
        <f>IF(A23&lt;='Indicadores Financeiros'!$F$13,SUMIF('Relatório Custo'!$F:$F,"&lt;="&amp;$A23,'Relatório Custo'!$V:$V),0)</f>
        <v>256496.28999999995</v>
      </c>
      <c r="C23" s="35">
        <f>IF(A23&lt;='Indicadores Financeiros'!$F$13,SUMIF('Relatório Custo'!$F:$F,"&lt;="&amp;$A23,'Relatório Custo'!$Y:$Y),0)</f>
        <v>66100.479999999996</v>
      </c>
      <c r="D23" s="35">
        <f>IF(A23&lt;='Indicadores Financeiros'!$F$13,SUMIF('Relatório Custo'!$F:$F,"&lt;="&amp;$A23,'Relatório Custo'!$AA:$AA),0)</f>
        <v>21145.56</v>
      </c>
      <c r="E23" s="33"/>
    </row>
    <row r="24" spans="1:5">
      <c r="A24" s="4">
        <f t="shared" si="0"/>
        <v>22</v>
      </c>
      <c r="B24" s="35">
        <f>IF(A24&lt;='Indicadores Financeiros'!$F$13,SUMIF('Relatório Custo'!$F:$F,"&lt;="&amp;$A24,'Relatório Custo'!$V:$V),0)</f>
        <v>256496.28999999995</v>
      </c>
      <c r="C24" s="35">
        <f>IF(A24&lt;='Indicadores Financeiros'!$F$13,SUMIF('Relatório Custo'!$F:$F,"&lt;="&amp;$A24,'Relatório Custo'!$Y:$Y),0)</f>
        <v>66100.479999999996</v>
      </c>
      <c r="D24" s="35">
        <f>IF(A24&lt;='Indicadores Financeiros'!$F$13,SUMIF('Relatório Custo'!$F:$F,"&lt;="&amp;$A24,'Relatório Custo'!$AA:$AA),0)</f>
        <v>21145.56</v>
      </c>
      <c r="E24" s="33"/>
    </row>
    <row r="25" spans="1:5">
      <c r="A25" s="4">
        <f t="shared" si="0"/>
        <v>23</v>
      </c>
      <c r="B25" s="35">
        <f>IF(A25&lt;='Indicadores Financeiros'!$F$13,SUMIF('Relatório Custo'!$F:$F,"&lt;="&amp;$A25,'Relatório Custo'!$V:$V),0)</f>
        <v>256496.28999999995</v>
      </c>
      <c r="C25" s="35">
        <f>IF(A25&lt;='Indicadores Financeiros'!$F$13,SUMIF('Relatório Custo'!$F:$F,"&lt;="&amp;$A25,'Relatório Custo'!$Y:$Y),0)</f>
        <v>66100.479999999996</v>
      </c>
      <c r="D25" s="35">
        <f>IF(A25&lt;='Indicadores Financeiros'!$F$13,SUMIF('Relatório Custo'!$F:$F,"&lt;="&amp;$A25,'Relatório Custo'!$AA:$AA),0)</f>
        <v>21145.56</v>
      </c>
      <c r="E25" s="33"/>
    </row>
    <row r="26" spans="1:5">
      <c r="A26" s="4">
        <f t="shared" si="0"/>
        <v>24</v>
      </c>
      <c r="B26" s="35">
        <f>IF(A26&lt;='Indicadores Financeiros'!$F$13,SUMIF('Relatório Custo'!$F:$F,"&lt;="&amp;$A26,'Relatório Custo'!$V:$V),0)</f>
        <v>256496.28999999995</v>
      </c>
      <c r="C26" s="35">
        <f>IF(A26&lt;='Indicadores Financeiros'!$F$13,SUMIF('Relatório Custo'!$F:$F,"&lt;="&amp;$A26,'Relatório Custo'!$Y:$Y),0)</f>
        <v>66100.479999999996</v>
      </c>
      <c r="D26" s="35">
        <f>IF(A26&lt;='Indicadores Financeiros'!$F$13,SUMIF('Relatório Custo'!$F:$F,"&lt;="&amp;$A26,'Relatório Custo'!$AA:$AA),0)</f>
        <v>21145.56</v>
      </c>
      <c r="E26" s="33"/>
    </row>
    <row r="27" spans="1:5">
      <c r="A27" s="4">
        <f t="shared" si="0"/>
        <v>25</v>
      </c>
      <c r="B27" s="35">
        <f>IF(A27&lt;='Indicadores Financeiros'!$F$13,SUMIF('Relatório Custo'!$F:$F,"&lt;="&amp;$A27,'Relatório Custo'!$V:$V),0)</f>
        <v>256496.28999999995</v>
      </c>
      <c r="C27" s="35">
        <f>IF(A27&lt;='Indicadores Financeiros'!$F$13,SUMIF('Relatório Custo'!$F:$F,"&lt;="&amp;$A27,'Relatório Custo'!$Y:$Y),0)</f>
        <v>66100.479999999996</v>
      </c>
      <c r="D27" s="35">
        <f>IF(A27&lt;='Indicadores Financeiros'!$F$13,SUMIF('Relatório Custo'!$F:$F,"&lt;="&amp;$A27,'Relatório Custo'!$AA:$AA),0)</f>
        <v>21145.56</v>
      </c>
      <c r="E27" s="33"/>
    </row>
    <row r="28" spans="1:5">
      <c r="A28" s="4">
        <f t="shared" si="0"/>
        <v>26</v>
      </c>
      <c r="B28" s="35">
        <f>IF(A28&lt;='Indicadores Financeiros'!$F$13,SUMIF('Relatório Custo'!$F:$F,"&lt;="&amp;$A28,'Relatório Custo'!$V:$V),0)</f>
        <v>256496.28999999995</v>
      </c>
      <c r="C28" s="35">
        <f>IF(A28&lt;='Indicadores Financeiros'!$F$13,SUMIF('Relatório Custo'!$F:$F,"&lt;="&amp;$A28,'Relatório Custo'!$Y:$Y),0)</f>
        <v>66100.479999999996</v>
      </c>
      <c r="D28" s="35">
        <f>IF(A28&lt;='Indicadores Financeiros'!$F$13,SUMIF('Relatório Custo'!$F:$F,"&lt;="&amp;$A28,'Relatório Custo'!$AA:$AA),0)</f>
        <v>21145.56</v>
      </c>
      <c r="E28" s="33"/>
    </row>
    <row r="29" spans="1:5">
      <c r="A29" s="4">
        <f t="shared" si="0"/>
        <v>27</v>
      </c>
      <c r="B29" s="35">
        <f>IF(A29&lt;='Indicadores Financeiros'!$F$13,SUMIF('Relatório Custo'!$F:$F,"&lt;="&amp;$A29,'Relatório Custo'!$V:$V),0)</f>
        <v>256496.28999999995</v>
      </c>
      <c r="C29" s="35">
        <f>IF(A29&lt;='Indicadores Financeiros'!$F$13,SUMIF('Relatório Custo'!$F:$F,"&lt;="&amp;$A29,'Relatório Custo'!$Y:$Y),0)</f>
        <v>66100.479999999996</v>
      </c>
      <c r="D29" s="35">
        <f>IF(A29&lt;='Indicadores Financeiros'!$F$13,SUMIF('Relatório Custo'!$F:$F,"&lt;="&amp;$A29,'Relatório Custo'!$AA:$AA),0)</f>
        <v>21145.56</v>
      </c>
      <c r="E29" s="33"/>
    </row>
    <row r="30" spans="1:5">
      <c r="A30" s="4">
        <f t="shared" si="0"/>
        <v>28</v>
      </c>
      <c r="B30" s="35">
        <f>IF(A30&lt;='Indicadores Financeiros'!$F$13,SUMIF('Relatório Custo'!$F:$F,"&lt;="&amp;$A30,'Relatório Custo'!$V:$V),0)</f>
        <v>256496.28999999995</v>
      </c>
      <c r="C30" s="35">
        <f>IF(A30&lt;='Indicadores Financeiros'!$F$13,SUMIF('Relatório Custo'!$F:$F,"&lt;="&amp;$A30,'Relatório Custo'!$Y:$Y),0)</f>
        <v>66100.479999999996</v>
      </c>
      <c r="D30" s="35">
        <f>IF(A30&lt;='Indicadores Financeiros'!$F$13,SUMIF('Relatório Custo'!$F:$F,"&lt;="&amp;$A30,'Relatório Custo'!$AA:$AA),0)</f>
        <v>21145.56</v>
      </c>
      <c r="E30" s="33"/>
    </row>
    <row r="31" spans="1:5">
      <c r="A31" s="4">
        <f t="shared" si="0"/>
        <v>29</v>
      </c>
      <c r="B31" s="35">
        <f>IF(A31&lt;='Indicadores Financeiros'!$F$13,SUMIF('Relatório Custo'!$F:$F,"&lt;="&amp;$A31,'Relatório Custo'!$V:$V),0)</f>
        <v>256496.28999999995</v>
      </c>
      <c r="C31" s="35">
        <f>IF(A31&lt;='Indicadores Financeiros'!$F$13,SUMIF('Relatório Custo'!$F:$F,"&lt;="&amp;$A31,'Relatório Custo'!$Y:$Y),0)</f>
        <v>66100.479999999996</v>
      </c>
      <c r="D31" s="35">
        <f>IF(A31&lt;='Indicadores Financeiros'!$F$13,SUMIF('Relatório Custo'!$F:$F,"&lt;="&amp;$A31,'Relatório Custo'!$AA:$AA),0)</f>
        <v>21145.56</v>
      </c>
      <c r="E31" s="33"/>
    </row>
    <row r="32" spans="1:5">
      <c r="A32" s="4">
        <f t="shared" si="0"/>
        <v>30</v>
      </c>
      <c r="B32" s="35">
        <f>IF(A32&lt;='Indicadores Financeiros'!$F$13,SUMIF('Relatório Custo'!$F:$F,"&lt;="&amp;$A32,'Relatório Custo'!$V:$V),0)</f>
        <v>256496.28999999995</v>
      </c>
      <c r="C32" s="35">
        <f>IF(A32&lt;='Indicadores Financeiros'!$F$13,SUMIF('Relatório Custo'!$F:$F,"&lt;="&amp;$A32,'Relatório Custo'!$Y:$Y),0)</f>
        <v>66100.479999999996</v>
      </c>
      <c r="D32" s="35">
        <f>IF(A32&lt;='Indicadores Financeiros'!$F$13,SUMIF('Relatório Custo'!$F:$F,"&lt;="&amp;$A32,'Relatório Custo'!$AA:$AA),0)</f>
        <v>21145.56</v>
      </c>
      <c r="E32" s="33"/>
    </row>
    <row r="33" spans="1:5">
      <c r="A33" s="37" t="s">
        <v>229</v>
      </c>
      <c r="B33" s="36">
        <f>SUM(B3:B32)</f>
        <v>7694888.7000000002</v>
      </c>
      <c r="C33" s="36">
        <f>SUM(C3:C32)</f>
        <v>1983014.3999999997</v>
      </c>
      <c r="D33" s="36">
        <f>SUM(D3:D32)</f>
        <v>634366.80000000028</v>
      </c>
      <c r="E33" s="2"/>
    </row>
    <row r="34" spans="1:5">
      <c r="A34" s="34"/>
      <c r="B34" s="102">
        <f>B33-'Relatório Custo'!$W$351</f>
        <v>0</v>
      </c>
      <c r="C34" s="34"/>
      <c r="D34" s="102">
        <f>D3-'Relatório Custo'!AA351</f>
        <v>0</v>
      </c>
    </row>
  </sheetData>
  <mergeCells count="1">
    <mergeCell ref="A1:D1"/>
  </mergeCells>
  <pageMargins left="1.1599999999999999" right="0.51181102362204722" top="0.78740157480314965" bottom="0.78740157480314965" header="0.31496062992125984" footer="0.31496062992125984"/>
  <pageSetup paperSize="9" scale="85" orientation="portrait" r:id="rId1"/>
  <headerFooter>
    <oddHeader>&amp;C&amp;"-,Negrito"PLANILHA DE COMPOSIÇÃO DE CUSTOSCRONOGRAMA FÍSICO FINANCEIRO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F578"/>
  <sheetViews>
    <sheetView showGridLines="0" zoomScale="90" zoomScaleNormal="90" workbookViewId="0">
      <pane xSplit="1" ySplit="7" topLeftCell="B8" activePane="bottomRight" state="frozen"/>
      <selection pane="bottomRight" activeCell="E41" sqref="E41"/>
      <selection pane="bottomLeft" sqref="A1:H1"/>
      <selection pane="topRight" sqref="A1:H1"/>
    </sheetView>
  </sheetViews>
  <sheetFormatPr defaultColWidth="8.85546875" defaultRowHeight="12.75"/>
  <cols>
    <col min="1" max="1" width="47.140625" style="89" bestFit="1" customWidth="1"/>
    <col min="2" max="2" width="17" style="89" bestFit="1" customWidth="1"/>
    <col min="3" max="4" width="19.5703125" style="89" bestFit="1" customWidth="1"/>
    <col min="5" max="5" width="19" style="89" customWidth="1"/>
    <col min="6" max="6" width="19.5703125" style="89" customWidth="1"/>
    <col min="7" max="7" width="19.7109375" style="92" customWidth="1"/>
    <col min="8" max="8" width="22" style="89" customWidth="1"/>
    <col min="9" max="9" width="14.85546875" style="92" customWidth="1"/>
    <col min="10" max="10" width="15.85546875" style="92" customWidth="1"/>
    <col min="11" max="11" width="14.85546875" style="92" bestFit="1" customWidth="1"/>
    <col min="12" max="12" width="15.85546875" style="92" bestFit="1" customWidth="1"/>
    <col min="13" max="14" width="16.5703125" style="92" bestFit="1" customWidth="1"/>
    <col min="15" max="83" width="8.85546875" style="92"/>
    <col min="84" max="16384" width="8.85546875" style="89"/>
  </cols>
  <sheetData>
    <row r="1" spans="1:84" ht="27" customHeight="1">
      <c r="A1" s="379" t="s">
        <v>235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1"/>
    </row>
    <row r="2" spans="1:84">
      <c r="A2" s="187" t="s">
        <v>206</v>
      </c>
      <c r="B2" s="182"/>
      <c r="C2" s="192"/>
      <c r="D2" s="192"/>
      <c r="E2" s="182"/>
      <c r="F2" s="182"/>
      <c r="G2" s="183"/>
      <c r="H2" s="192"/>
      <c r="I2" s="183"/>
      <c r="J2" s="183"/>
      <c r="K2" s="183"/>
      <c r="L2" s="183"/>
      <c r="M2" s="183"/>
      <c r="N2" s="183"/>
    </row>
    <row r="3" spans="1:84" ht="14.45" customHeight="1">
      <c r="A3" s="188" t="s">
        <v>157</v>
      </c>
      <c r="C3" s="192"/>
      <c r="D3" s="192"/>
      <c r="E3" s="184"/>
      <c r="F3" s="184"/>
      <c r="G3" s="89"/>
      <c r="H3" s="192"/>
      <c r="I3" s="89"/>
      <c r="J3" s="89"/>
      <c r="K3" s="89"/>
      <c r="L3" s="89"/>
      <c r="M3" s="89"/>
      <c r="N3" s="89"/>
    </row>
    <row r="4" spans="1:84" ht="14.45" customHeight="1">
      <c r="A4" s="189" t="s">
        <v>236</v>
      </c>
      <c r="C4" s="192"/>
      <c r="D4" s="192"/>
      <c r="E4" s="184"/>
      <c r="F4" s="184"/>
      <c r="G4" s="89"/>
      <c r="H4" s="192"/>
      <c r="I4" s="89"/>
      <c r="J4" s="89"/>
      <c r="K4" s="89"/>
      <c r="L4" s="89"/>
      <c r="M4" s="89"/>
      <c r="N4" s="89"/>
    </row>
    <row r="5" spans="1:84">
      <c r="A5" s="193">
        <f>'Indicadores Financeiros'!$F$13</f>
        <v>30</v>
      </c>
      <c r="C5" s="192"/>
      <c r="D5" s="192"/>
      <c r="G5" s="99"/>
      <c r="H5" s="192"/>
      <c r="I5" s="99"/>
      <c r="J5" s="99"/>
      <c r="K5" s="99"/>
      <c r="L5" s="99"/>
      <c r="M5" s="99"/>
      <c r="N5" s="99"/>
    </row>
    <row r="6" spans="1:84">
      <c r="A6" s="190"/>
      <c r="B6" s="186"/>
      <c r="C6" s="186"/>
      <c r="D6" s="186"/>
      <c r="E6" s="186"/>
      <c r="F6" s="186"/>
      <c r="G6" s="186"/>
      <c r="H6" s="185"/>
      <c r="I6" s="186"/>
      <c r="J6" s="196"/>
      <c r="K6" s="196"/>
      <c r="L6" s="196"/>
      <c r="M6" s="196"/>
      <c r="N6" s="196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</row>
    <row r="7" spans="1:84">
      <c r="A7" s="158" t="s">
        <v>119</v>
      </c>
      <c r="B7" s="159">
        <v>680004</v>
      </c>
      <c r="C7" s="159">
        <v>680011</v>
      </c>
      <c r="D7" s="159">
        <v>680018</v>
      </c>
      <c r="E7" s="159">
        <v>680021</v>
      </c>
      <c r="F7" s="159">
        <v>680023</v>
      </c>
      <c r="G7" s="159">
        <v>680027</v>
      </c>
      <c r="H7" s="159">
        <v>680028</v>
      </c>
      <c r="I7" s="159">
        <v>680024</v>
      </c>
      <c r="J7" s="159">
        <v>680025</v>
      </c>
      <c r="K7" s="159">
        <v>680029</v>
      </c>
      <c r="L7" s="159">
        <v>680030</v>
      </c>
      <c r="M7" s="159">
        <v>680031</v>
      </c>
      <c r="N7" s="159">
        <v>680032</v>
      </c>
      <c r="CF7" s="92"/>
    </row>
    <row r="8" spans="1:84" ht="89.25">
      <c r="A8" s="160" t="s">
        <v>237</v>
      </c>
      <c r="B8" s="161" t="str">
        <f>IFERROR(VLOOKUP(B7,'Indicadores Financeiros'!$A$107:$J$113,2,FALSE),"-")</f>
        <v>Posto de vigilante noturno: 12 horas - escala de 12 x 36 de segunda-feira a domingo</v>
      </c>
      <c r="C8" s="161" t="str">
        <f>IFERROR(VLOOKUP(C7,'Indicadores Financeiros'!$A$107:$J$113,2,FALSE),"-")</f>
        <v>Posto de vigilante diurno - com almocista (repositor) - 12 horas - escala de 12 x 36 de segunda-feira a domingo</v>
      </c>
      <c r="D8" s="161" t="str">
        <f>IFERROR(VLOOKUP(D7,'Indicadores Financeiros'!$A$107:$J$113,2,FALSE),"-")</f>
        <v>Posto de vigilante diurno - com almocista (repositor) - 44 horas semanais de segunda a sexta-feira - arma não letal</v>
      </c>
      <c r="E8" s="161" t="str">
        <f>IFERROR(VLOOKUP(E7,'Indicadores Financeiros'!$A$107:$J$113,2,FALSE),"-")</f>
        <v xml:space="preserve">Posto de vigilante diurno - com almocista (repositor) - 12 horas diárias - segunda a sexta-feira </v>
      </c>
      <c r="F8" s="161" t="str">
        <f>IFERROR(VLOOKUP(F7,'Indicadores Financeiros'!$A$107:$J$113,2,FALSE),"-")</f>
        <v>Posto de vigilante diurno: com almocista (repositor) - 44 horas semanais de segunda a sexta-feira - desarmado</v>
      </c>
      <c r="G8" s="161" t="str">
        <f>IFERROR(VLOOKUP(G7,'Indicadores Financeiros'!$A$107:$J$113,2,FALSE),"-")</f>
        <v>Posto de vigilante diurno Líder - com almocista (repositor/repositora) - 12 horas - escala de 12X36 de segunda a domingo</v>
      </c>
      <c r="H8" s="161" t="str">
        <f>IFERROR(VLOOKUP(H7,'Indicadores Financeiros'!$A$107:$J$113,2,FALSE),"-")</f>
        <v>Posto de vigilante diurno - com almocista (repositor/repositora) - 44 horas semanais - segunda a sexta-feira - com uso de arma de fogo</v>
      </c>
      <c r="I8" s="161" t="s">
        <v>139</v>
      </c>
      <c r="J8" s="161" t="s">
        <v>142</v>
      </c>
      <c r="K8" s="161" t="s">
        <v>143</v>
      </c>
      <c r="L8" s="161" t="s">
        <v>145</v>
      </c>
      <c r="M8" s="161" t="s">
        <v>147</v>
      </c>
      <c r="N8" s="161" t="s">
        <v>149</v>
      </c>
      <c r="CF8" s="92"/>
    </row>
    <row r="9" spans="1:84" ht="19.149999999999999" customHeight="1">
      <c r="A9" s="162" t="s">
        <v>121</v>
      </c>
      <c r="B9" s="163" t="str">
        <f>IFERROR(VLOOKUP(B$7,'Indicadores Financeiros'!$A$107:$J$119,3,FALSE),"-")</f>
        <v>Posto/Dia</v>
      </c>
      <c r="C9" s="163" t="str">
        <f>IFERROR(VLOOKUP(C$7,'Indicadores Financeiros'!$A$107:$J$119,3,FALSE),"-")</f>
        <v>Posto/Dia</v>
      </c>
      <c r="D9" s="163" t="str">
        <f>IFERROR(VLOOKUP(D$7,'Indicadores Financeiros'!$A$107:$J$119,3,FALSE),"-")</f>
        <v>Posto/Dia</v>
      </c>
      <c r="E9" s="163" t="str">
        <f>IFERROR(VLOOKUP(E$7,'Indicadores Financeiros'!$A$107:$J$119,3,FALSE),"-")</f>
        <v>Posto/Dia</v>
      </c>
      <c r="F9" s="163" t="str">
        <f>IFERROR(VLOOKUP(F$7,'Indicadores Financeiros'!$A$107:$J$119,3,FALSE),"-")</f>
        <v>Posto/Dia</v>
      </c>
      <c r="G9" s="163" t="str">
        <f>IFERROR(VLOOKUP(G$7,'Indicadores Financeiros'!$A$107:$J$119,3,FALSE),"-")</f>
        <v>Posto/Dia Líder</v>
      </c>
      <c r="H9" s="163" t="str">
        <f>IFERROR(VLOOKUP(H$7,'Indicadores Financeiros'!$A$107:$J$119,3,FALSE),"-")</f>
        <v>Posto/Dia</v>
      </c>
      <c r="I9" s="163" t="str">
        <f>IFERROR(VLOOKUP(I$7,'Indicadores Financeiros'!$A$107:$J$119,3,FALSE),"-")</f>
        <v>Posto/Hora</v>
      </c>
      <c r="J9" s="163" t="str">
        <f>IFERROR(VLOOKUP(J$7,'Indicadores Financeiros'!$A$107:$J$119,3,FALSE),"-")</f>
        <v>Posto/Hora</v>
      </c>
      <c r="K9" s="163" t="str">
        <f>IFERROR(VLOOKUP(K$7,'Indicadores Financeiros'!$A$107:$J$119,3,FALSE),"-")</f>
        <v>Posto/Hora</v>
      </c>
      <c r="L9" s="163" t="str">
        <f>IFERROR(VLOOKUP(L$7,'Indicadores Financeiros'!$A$107:$J$119,3,FALSE),"-")</f>
        <v>Posto/Hora</v>
      </c>
      <c r="M9" s="163" t="str">
        <f>IFERROR(VLOOKUP(M$7,'Indicadores Financeiros'!$A$107:$J$119,3,FALSE),"-")</f>
        <v>Posto/Hora extra</v>
      </c>
      <c r="N9" s="163" t="str">
        <f>IFERROR(VLOOKUP(N$7,'Indicadores Financeiros'!$A$107:$J$119,3,FALSE),"-")</f>
        <v>Posto/Hora extra</v>
      </c>
      <c r="CF9" s="92"/>
    </row>
    <row r="10" spans="1:84" ht="15" customHeight="1">
      <c r="A10" s="162" t="s">
        <v>238</v>
      </c>
      <c r="B10" s="163">
        <f>IFERROR(VLOOKUP(B$7,'Indicadores Financeiros'!$A$107:$J$119,6,FALSE),"-")</f>
        <v>2</v>
      </c>
      <c r="C10" s="163">
        <f>IFERROR(VLOOKUP(C$7,'Indicadores Financeiros'!$A$107:$J$119,6,FALSE),"-")</f>
        <v>2</v>
      </c>
      <c r="D10" s="163">
        <f>IFERROR(VLOOKUP(D$7,'Indicadores Financeiros'!$A$107:$J$119,6,FALSE),"-")</f>
        <v>1</v>
      </c>
      <c r="E10" s="163">
        <f>IFERROR(VLOOKUP(E$7,'Indicadores Financeiros'!$A$107:$J$119,6,FALSE),"-")</f>
        <v>1.37</v>
      </c>
      <c r="F10" s="163">
        <f>IFERROR(VLOOKUP(F$7,'Indicadores Financeiros'!$A$107:$J$119,6,FALSE),"-")</f>
        <v>1</v>
      </c>
      <c r="G10" s="163">
        <f>IFERROR(VLOOKUP(G$7,'Indicadores Financeiros'!$A$107:$J$119,6,FALSE),"-")</f>
        <v>2</v>
      </c>
      <c r="H10" s="163">
        <f>IFERROR(VLOOKUP(H$7,'Indicadores Financeiros'!$A$107:$J$119,6,FALSE),"-")</f>
        <v>1</v>
      </c>
      <c r="I10" s="163">
        <f>IFERROR(VLOOKUP(I$7,'Indicadores Financeiros'!$A$107:$J$119,6,FALSE),"-")</f>
        <v>1</v>
      </c>
      <c r="J10" s="163">
        <f>IFERROR(VLOOKUP(J$7,'Indicadores Financeiros'!$A$107:$J$119,6,FALSE),"-")</f>
        <v>1</v>
      </c>
      <c r="K10" s="163">
        <f>IFERROR(VLOOKUP(K$7,'Indicadores Financeiros'!$A$107:$J$119,6,FALSE),"-")</f>
        <v>1</v>
      </c>
      <c r="L10" s="163">
        <f>IFERROR(VLOOKUP(L$7,'Indicadores Financeiros'!$A$107:$J$119,6,FALSE),"-")</f>
        <v>1</v>
      </c>
      <c r="M10" s="163">
        <f>IFERROR(VLOOKUP(M$7,'Indicadores Financeiros'!$A$107:$J$119,6,FALSE),"-")</f>
        <v>1</v>
      </c>
      <c r="N10" s="163">
        <f>IFERROR(VLOOKUP(N$7,'Indicadores Financeiros'!$A$107:$J$119,6,FALSE),"-")</f>
        <v>1</v>
      </c>
      <c r="CF10" s="92"/>
    </row>
    <row r="11" spans="1:84" ht="14.45" customHeight="1">
      <c r="A11" s="162" t="s">
        <v>124</v>
      </c>
      <c r="B11" s="163">
        <f>IFERROR(VLOOKUP(B$7,'Indicadores Financeiros'!$A$107:$J$119,7,FALSE),"-")</f>
        <v>15.22</v>
      </c>
      <c r="C11" s="163">
        <f>IFERROR(VLOOKUP(C$7,'Indicadores Financeiros'!$A$107:$J$119,7,FALSE),"-")</f>
        <v>15.22</v>
      </c>
      <c r="D11" s="163">
        <f>IFERROR(VLOOKUP(D$7,'Indicadores Financeiros'!$A$107:$J$119,7,FALSE),"-")</f>
        <v>21</v>
      </c>
      <c r="E11" s="163">
        <f>IFERROR(VLOOKUP(E$7,'Indicadores Financeiros'!$A$107:$J$119,7,FALSE),"-")</f>
        <v>21</v>
      </c>
      <c r="F11" s="163">
        <f>IFERROR(VLOOKUP(F$7,'Indicadores Financeiros'!$A$107:$J$119,7,FALSE),"-")</f>
        <v>21</v>
      </c>
      <c r="G11" s="163">
        <f>IFERROR(VLOOKUP(G$7,'Indicadores Financeiros'!$A$107:$J$119,7,FALSE),"-")</f>
        <v>15.22</v>
      </c>
      <c r="H11" s="163">
        <f>IFERROR(VLOOKUP(H$7,'Indicadores Financeiros'!$A$107:$J$119,7,FALSE),"-")</f>
        <v>21</v>
      </c>
      <c r="I11" s="163">
        <f>IFERROR(VLOOKUP(I$7,'Indicadores Financeiros'!$A$107:$J$119,7,FALSE),"-")</f>
        <v>21</v>
      </c>
      <c r="J11" s="163">
        <f>IFERROR(VLOOKUP(J$7,'Indicadores Financeiros'!$A$107:$J$119,7,FALSE),"-")</f>
        <v>21</v>
      </c>
      <c r="K11" s="163">
        <f>IFERROR(VLOOKUP(K$7,'Indicadores Financeiros'!$A$107:$J$119,7,FALSE),"-")</f>
        <v>21</v>
      </c>
      <c r="L11" s="163">
        <f>IFERROR(VLOOKUP(L$7,'Indicadores Financeiros'!$A$107:$J$119,7,FALSE),"-")</f>
        <v>21</v>
      </c>
      <c r="M11" s="163">
        <f>IFERROR(VLOOKUP(M$7,'Indicadores Financeiros'!$A$107:$J$119,7,FALSE),"-")</f>
        <v>21</v>
      </c>
      <c r="N11" s="163">
        <f>IFERROR(VLOOKUP(N$7,'Indicadores Financeiros'!$A$107:$J$119,7,FALSE),"-")</f>
        <v>21</v>
      </c>
      <c r="CF11" s="92"/>
    </row>
    <row r="12" spans="1:84" ht="14.45" customHeight="1">
      <c r="A12" s="162" t="s">
        <v>239</v>
      </c>
      <c r="B12" s="163">
        <f>IFERROR(SUMIFS('Relatório Custo'!$I:$I,'Relatório Custo'!$B:$B,'Resumo por Localidade'!$A$3,'Relatório Custo'!$C:$C,'Resumo por Localidade'!B$7),"-")</f>
        <v>31</v>
      </c>
      <c r="C12" s="163">
        <f>IFERROR(SUMIFS('Relatório Custo'!$I:$I,'Relatório Custo'!$B:$B,'Resumo por Localidade'!$A$3,'Relatório Custo'!$C:$C,'Resumo por Localidade'!C$7),"-")</f>
        <v>31</v>
      </c>
      <c r="D12" s="163">
        <f>IFERROR(SUMIFS('Relatório Custo'!$I:$I,'Relatório Custo'!$B:$B,'Resumo por Localidade'!$A$3,'Relatório Custo'!$C:$C,'Resumo por Localidade'!D$7),"-")</f>
        <v>21</v>
      </c>
      <c r="E12" s="163">
        <f>IFERROR(SUMIFS('Relatório Custo'!$I:$I,'Relatório Custo'!$B:$B,'Resumo por Localidade'!$A$3,'Relatório Custo'!$C:$C,'Resumo por Localidade'!E$7),"-")</f>
        <v>21</v>
      </c>
      <c r="F12" s="163">
        <f>IFERROR(SUMIFS('Relatório Custo'!$I:$I,'Relatório Custo'!$B:$B,'Resumo por Localidade'!$A$3,'Relatório Custo'!$C:$C,'Resumo por Localidade'!F$7),"-")</f>
        <v>21</v>
      </c>
      <c r="G12" s="163">
        <f>IFERROR(SUMIFS('Relatório Custo'!$I:$I,'Relatório Custo'!$B:$B,'Resumo por Localidade'!$A$3,'Relatório Custo'!$C:$C,'Resumo por Localidade'!G$7),"-")</f>
        <v>31</v>
      </c>
      <c r="H12" s="163">
        <f>IFERROR(SUMIFS('Relatório Custo'!$I:$I,'Relatório Custo'!$B:$B,'Resumo por Localidade'!$A$3,'Relatório Custo'!$C:$C,'Resumo por Localidade'!H$7),"-")</f>
        <v>21</v>
      </c>
      <c r="I12" s="163">
        <f>IFERROR(SUMIFS('Relatório Custo'!$I:$I,'Relatório Custo'!$B:$B,'Resumo por Localidade'!$A$3,'Relatório Custo'!$C:$C,'Resumo por Localidade'!I$7),"-")</f>
        <v>0</v>
      </c>
      <c r="J12" s="163">
        <f>IFERROR(SUMIFS('Relatório Custo'!$I:$I,'Relatório Custo'!$B:$B,'Resumo por Localidade'!$A$3,'Relatório Custo'!$C:$C,'Resumo por Localidade'!J$7),"-")</f>
        <v>0</v>
      </c>
      <c r="K12" s="163">
        <f>IFERROR(SUMIFS('Relatório Custo'!$I:$I,'Relatório Custo'!$B:$B,'Resumo por Localidade'!$A$3,'Relatório Custo'!$C:$C,'Resumo por Localidade'!K$7),"-")</f>
        <v>0</v>
      </c>
      <c r="L12" s="163">
        <f>IFERROR(SUMIFS('Relatório Custo'!$I:$I,'Relatório Custo'!$B:$B,'Resumo por Localidade'!$A$3,'Relatório Custo'!$C:$C,'Resumo por Localidade'!L$7),"-")</f>
        <v>0</v>
      </c>
      <c r="M12" s="163">
        <f>IFERROR(SUMIFS('Relatório Custo'!$I:$I,'Relatório Custo'!$B:$B,'Resumo por Localidade'!$A$3,'Relatório Custo'!$C:$C,'Resumo por Localidade'!M$7),"-")</f>
        <v>0</v>
      </c>
      <c r="N12" s="163">
        <f>IFERROR(SUMIFS('Relatório Custo'!$I:$I,'Relatório Custo'!$B:$B,'Resumo por Localidade'!$A$3,'Relatório Custo'!$C:$C,'Resumo por Localidade'!N$7),"-")</f>
        <v>0</v>
      </c>
      <c r="CF12" s="92"/>
    </row>
    <row r="13" spans="1:84" s="101" customFormat="1" ht="14.45" customHeight="1">
      <c r="A13" s="164" t="s">
        <v>240</v>
      </c>
      <c r="B13" s="165">
        <f>SUMIFS('Relatório Custo'!$J:$J,'Relatório Custo'!$B:$B,'Resumo por Localidade'!$A$3,'Relatório Custo'!$C:$C,'Resumo por Localidade'!B$7)</f>
        <v>2</v>
      </c>
      <c r="C13" s="165">
        <f>SUMIFS('Relatório Custo'!$J:$J,'Relatório Custo'!$B:$B,'Resumo por Localidade'!$A$3,'Relatório Custo'!$C:$C,'Resumo por Localidade'!C$7)</f>
        <v>1</v>
      </c>
      <c r="D13" s="165">
        <f>SUMIFS('Relatório Custo'!$J:$J,'Relatório Custo'!$B:$B,'Resumo por Localidade'!$A$3,'Relatório Custo'!$C:$C,'Resumo por Localidade'!D$7)</f>
        <v>1</v>
      </c>
      <c r="E13" s="165">
        <f>SUMIFS('Relatório Custo'!$J:$J,'Relatório Custo'!$B:$B,'Resumo por Localidade'!$A$3,'Relatório Custo'!$C:$C,'Resumo por Localidade'!E$7)</f>
        <v>1</v>
      </c>
      <c r="F13" s="165">
        <f>SUMIFS('Relatório Custo'!$J:$J,'Relatório Custo'!$B:$B,'Resumo por Localidade'!$A$3,'Relatório Custo'!$C:$C,'Resumo por Localidade'!F$7)</f>
        <v>1</v>
      </c>
      <c r="G13" s="165">
        <f>SUMIFS('Relatório Custo'!$J:$J,'Relatório Custo'!$B:$B,'Resumo por Localidade'!$A$3,'Relatório Custo'!$C:$C,'Resumo por Localidade'!G$7)</f>
        <v>1</v>
      </c>
      <c r="H13" s="165">
        <f>SUMIFS('Relatório Custo'!$J:$J,'Relatório Custo'!$B:$B,'Resumo por Localidade'!$A$3,'Relatório Custo'!$C:$C,'Resumo por Localidade'!H$7)</f>
        <v>1</v>
      </c>
      <c r="I13" s="165">
        <f>SUMIFS('Relatório Custo'!$J:$J,'Relatório Custo'!$B:$B,'Resumo por Localidade'!$A$3,'Relatório Custo'!$C:$C,'Resumo por Localidade'!I$7)</f>
        <v>200</v>
      </c>
      <c r="J13" s="165">
        <f>SUMIFS('Relatório Custo'!$J:$J,'Relatório Custo'!$B:$B,'Resumo por Localidade'!$A$3,'Relatório Custo'!$C:$C,'Resumo por Localidade'!J$7)</f>
        <v>250</v>
      </c>
      <c r="K13" s="165">
        <f>SUMIFS('Relatório Custo'!$J:$J,'Relatório Custo'!$B:$B,'Resumo por Localidade'!$A$3,'Relatório Custo'!$C:$C,'Resumo por Localidade'!K$7)</f>
        <v>300</v>
      </c>
      <c r="L13" s="165">
        <f>SUMIFS('Relatório Custo'!$J:$J,'Relatório Custo'!$B:$B,'Resumo por Localidade'!$A$3,'Relatório Custo'!$C:$C,'Resumo por Localidade'!L$7)</f>
        <v>150</v>
      </c>
      <c r="M13" s="165">
        <f>SUMIFS('Relatório Custo'!$J:$J,'Relatório Custo'!$B:$B,'Resumo por Localidade'!$A$3,'Relatório Custo'!$C:$C,'Resumo por Localidade'!M$7)</f>
        <v>100</v>
      </c>
      <c r="N13" s="165">
        <f>SUMIFS('Relatório Custo'!$J:$J,'Relatório Custo'!$B:$B,'Resumo por Localidade'!$A$3,'Relatório Custo'!$C:$C,'Resumo por Localidade'!N$7)</f>
        <v>50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</row>
    <row r="14" spans="1:84" ht="14.45" customHeight="1">
      <c r="A14" s="162" t="s">
        <v>241</v>
      </c>
      <c r="B14" s="157">
        <f>IFERROR(SUMIFS('Relatório Custo'!$K:$K,'Relatório Custo'!$B:$B,'Resumo por Localidade'!$A$3,'Relatório Custo'!$C:$C,'Resumo por Localidade'!B$7),"-")</f>
        <v>62</v>
      </c>
      <c r="C14" s="157">
        <f>IFERROR(SUMIFS('Relatório Custo'!$K:$K,'Relatório Custo'!$B:$B,'Resumo por Localidade'!$A$3,'Relatório Custo'!$C:$C,'Resumo por Localidade'!C$7),"-")</f>
        <v>31</v>
      </c>
      <c r="D14" s="157">
        <f>IFERROR(SUMIFS('Relatório Custo'!$K:$K,'Relatório Custo'!$B:$B,'Resumo por Localidade'!$A$3,'Relatório Custo'!$C:$C,'Resumo por Localidade'!D$7),"-")</f>
        <v>21</v>
      </c>
      <c r="E14" s="157">
        <f>IFERROR(SUMIFS('Relatório Custo'!$K:$K,'Relatório Custo'!$B:$B,'Resumo por Localidade'!$A$3,'Relatório Custo'!$C:$C,'Resumo por Localidade'!E$7),"-")</f>
        <v>21</v>
      </c>
      <c r="F14" s="157">
        <f>IFERROR(SUMIFS('Relatório Custo'!$K:$K,'Relatório Custo'!$B:$B,'Resumo por Localidade'!$A$3,'Relatório Custo'!$C:$C,'Resumo por Localidade'!F$7),"-")</f>
        <v>21</v>
      </c>
      <c r="G14" s="157">
        <f>IFERROR(SUMIFS('Relatório Custo'!$K:$K,'Relatório Custo'!$B:$B,'Resumo por Localidade'!$A$3,'Relatório Custo'!$C:$C,'Resumo por Localidade'!G$7),"-")</f>
        <v>31</v>
      </c>
      <c r="H14" s="157">
        <f>IFERROR(SUMIFS('Relatório Custo'!$K:$K,'Relatório Custo'!$B:$B,'Resumo por Localidade'!$A$3,'Relatório Custo'!$C:$C,'Resumo por Localidade'!H$7),"-")</f>
        <v>21</v>
      </c>
      <c r="I14" s="157">
        <f>IFERROR(SUMIFS('Relatório Custo'!$K:$K,'Relatório Custo'!$B:$B,'Resumo por Localidade'!$A$3,'Relatório Custo'!$C:$C,'Resumo por Localidade'!I$7),"-")</f>
        <v>200</v>
      </c>
      <c r="J14" s="157">
        <f>IFERROR(SUMIFS('Relatório Custo'!$K:$K,'Relatório Custo'!$B:$B,'Resumo por Localidade'!$A$3,'Relatório Custo'!$C:$C,'Resumo por Localidade'!J$7),"-")</f>
        <v>250</v>
      </c>
      <c r="K14" s="157">
        <f>IFERROR(SUMIFS('Relatório Custo'!$K:$K,'Relatório Custo'!$B:$B,'Resumo por Localidade'!$A$3,'Relatório Custo'!$C:$C,'Resumo por Localidade'!K$7),"-")</f>
        <v>300</v>
      </c>
      <c r="L14" s="157">
        <f>IFERROR(SUMIFS('Relatório Custo'!$K:$K,'Relatório Custo'!$B:$B,'Resumo por Localidade'!$A$3,'Relatório Custo'!$C:$C,'Resumo por Localidade'!L$7),"-")</f>
        <v>150</v>
      </c>
      <c r="M14" s="157">
        <f>IFERROR(SUMIFS('Relatório Custo'!$K:$K,'Relatório Custo'!$B:$B,'Resumo por Localidade'!$A$3,'Relatório Custo'!$C:$C,'Resumo por Localidade'!M$7),"-")</f>
        <v>100</v>
      </c>
      <c r="N14" s="157">
        <f>IFERROR(SUMIFS('Relatório Custo'!$K:$K,'Relatório Custo'!$B:$B,'Resumo por Localidade'!$A$3,'Relatório Custo'!$C:$C,'Resumo por Localidade'!N$7),"-")</f>
        <v>50</v>
      </c>
      <c r="CF14" s="92"/>
    </row>
    <row r="15" spans="1:84" ht="14.45" customHeight="1">
      <c r="A15" s="162" t="s">
        <v>242</v>
      </c>
      <c r="B15" s="163">
        <f>IF(B13&gt;0,VLOOKUP($A$3,'Indicadores Financeiros'!$B$123:$J$280,9,FALSE),0)</f>
        <v>1</v>
      </c>
      <c r="C15" s="163">
        <f>IF(C13&gt;0,VLOOKUP($A$3,'Indicadores Financeiros'!$B$123:$J$280,9,FALSE),0)</f>
        <v>1</v>
      </c>
      <c r="D15" s="163">
        <f>IF(D13&gt;0,VLOOKUP($A$3,'Indicadores Financeiros'!$B$123:$J$280,9,FALSE),0)</f>
        <v>1</v>
      </c>
      <c r="E15" s="163">
        <f>IF(E13&gt;0,VLOOKUP($A$3,'Indicadores Financeiros'!$B$123:$J$280,9,FALSE),0)</f>
        <v>1</v>
      </c>
      <c r="F15" s="163">
        <f>IF(F13&gt;0,VLOOKUP($A$3,'Indicadores Financeiros'!$B$123:$J$280,9,FALSE),0)</f>
        <v>1</v>
      </c>
      <c r="G15" s="163">
        <f>IF(G13&gt;0,VLOOKUP($A$3,'Indicadores Financeiros'!$B$123:$J$280,9,FALSE),0)</f>
        <v>1</v>
      </c>
      <c r="H15" s="163">
        <f>IF(H13&gt;0,VLOOKUP($A$3,'Indicadores Financeiros'!$B$123:$J$280,9,FALSE),0)</f>
        <v>1</v>
      </c>
      <c r="I15" s="163">
        <f>IF(I13&gt;0,VLOOKUP($A$3,'Indicadores Financeiros'!$B$123:$J$280,9,FALSE),0)</f>
        <v>1</v>
      </c>
      <c r="J15" s="163">
        <f>IF(J13&gt;0,VLOOKUP($A$3,'Indicadores Financeiros'!$B$123:$J$280,9,FALSE),0)</f>
        <v>1</v>
      </c>
      <c r="K15" s="163">
        <f>IF(K13&gt;0,VLOOKUP($A$3,'Indicadores Financeiros'!$B$123:$J$280,9,FALSE),0)</f>
        <v>1</v>
      </c>
      <c r="L15" s="163">
        <f>IF(L13&gt;0,VLOOKUP($A$3,'Indicadores Financeiros'!$B$123:$J$280,9,FALSE),0)</f>
        <v>1</v>
      </c>
      <c r="M15" s="163">
        <f>IF(M13&gt;0,VLOOKUP($A$3,'Indicadores Financeiros'!$B$123:$J$280,9,FALSE),0)</f>
        <v>1</v>
      </c>
      <c r="N15" s="163">
        <f>IF(N13&gt;0,VLOOKUP($A$3,'Indicadores Financeiros'!$B$123:$J$280,9,FALSE),0)</f>
        <v>1</v>
      </c>
      <c r="CF15" s="92"/>
    </row>
    <row r="16" spans="1:84">
      <c r="A16" s="96"/>
      <c r="B16" s="97"/>
      <c r="C16" s="97"/>
      <c r="D16" s="98"/>
      <c r="E16" s="97"/>
      <c r="F16" s="97"/>
      <c r="G16" s="97"/>
      <c r="H16" s="98"/>
      <c r="I16" s="97"/>
      <c r="J16" s="97"/>
      <c r="K16" s="97"/>
      <c r="L16" s="97"/>
      <c r="M16" s="97"/>
      <c r="N16" s="97"/>
      <c r="CF16" s="92"/>
    </row>
    <row r="17" spans="1:84">
      <c r="A17" s="158" t="s">
        <v>243</v>
      </c>
      <c r="B17" s="166" t="s">
        <v>110</v>
      </c>
      <c r="C17" s="166" t="s">
        <v>110</v>
      </c>
      <c r="D17" s="166" t="s">
        <v>110</v>
      </c>
      <c r="E17" s="166" t="s">
        <v>110</v>
      </c>
      <c r="F17" s="166" t="s">
        <v>110</v>
      </c>
      <c r="G17" s="166" t="s">
        <v>110</v>
      </c>
      <c r="H17" s="166" t="s">
        <v>110</v>
      </c>
      <c r="I17" s="166" t="s">
        <v>110</v>
      </c>
      <c r="J17" s="166" t="s">
        <v>110</v>
      </c>
      <c r="K17" s="166" t="s">
        <v>110</v>
      </c>
      <c r="L17" s="166" t="s">
        <v>110</v>
      </c>
      <c r="M17" s="166" t="s">
        <v>110</v>
      </c>
      <c r="N17" s="166" t="s">
        <v>110</v>
      </c>
      <c r="CF17" s="92"/>
    </row>
    <row r="18" spans="1:84">
      <c r="A18" s="162" t="s">
        <v>105</v>
      </c>
      <c r="B18" s="167">
        <f>IF(B13=0,0,'Indicadores Financeiros'!$J$91)</f>
        <v>2045.92</v>
      </c>
      <c r="C18" s="167">
        <f>IF(C13=0,0,'Indicadores Financeiros'!$J$91)</f>
        <v>2045.92</v>
      </c>
      <c r="D18" s="167">
        <f>IF(D13=0,0,'Indicadores Financeiros'!$J$91)</f>
        <v>2045.92</v>
      </c>
      <c r="E18" s="167">
        <f>IF(E13=0,0,'Indicadores Financeiros'!$J$91)</f>
        <v>2045.92</v>
      </c>
      <c r="F18" s="167">
        <f>IF(F13=0,0,'Indicadores Financeiros'!$J$91)</f>
        <v>2045.92</v>
      </c>
      <c r="G18" s="167">
        <f>IF(G13=0,0,'Indicadores Financeiros'!$J$91)</f>
        <v>2045.92</v>
      </c>
      <c r="H18" s="167">
        <f>IF(H13=0,0,'Indicadores Financeiros'!$J$91)</f>
        <v>2045.92</v>
      </c>
      <c r="I18" s="167">
        <f>IF(I13=0,0,'Indicadores Financeiros'!$J$91)</f>
        <v>2045.92</v>
      </c>
      <c r="J18" s="167">
        <f>IF(J13=0,0,'Indicadores Financeiros'!$J$91)</f>
        <v>2045.92</v>
      </c>
      <c r="K18" s="167">
        <f>IF(K13=0,0,'Indicadores Financeiros'!$J$91)</f>
        <v>2045.92</v>
      </c>
      <c r="L18" s="167">
        <f>IF(L13=0,0,'Indicadores Financeiros'!$J$91)</f>
        <v>2045.92</v>
      </c>
      <c r="M18" s="167">
        <f>IF(M13=0,0,'Indicadores Financeiros'!$J$91)</f>
        <v>2045.92</v>
      </c>
      <c r="N18" s="167">
        <f>IF(N13=0,0,'Indicadores Financeiros'!$J$91)</f>
        <v>2045.92</v>
      </c>
      <c r="CF18" s="92"/>
    </row>
    <row r="19" spans="1:84">
      <c r="A19" s="162" t="s">
        <v>244</v>
      </c>
      <c r="B19" s="167">
        <f>IF(B13=0,0,'Indicadores Financeiros'!$J$92)</f>
        <v>613.78</v>
      </c>
      <c r="C19" s="167">
        <f>IF(C13=0,0,'Indicadores Financeiros'!$J$92)</f>
        <v>613.78</v>
      </c>
      <c r="D19" s="167">
        <f>IF(D13=0,0,'Indicadores Financeiros'!$J$92)</f>
        <v>613.78</v>
      </c>
      <c r="E19" s="167">
        <f>IF(E13=0,0,'Indicadores Financeiros'!$J$92)</f>
        <v>613.78</v>
      </c>
      <c r="F19" s="167">
        <f>IF(F13=0,0,'Indicadores Financeiros'!$J$92)</f>
        <v>613.78</v>
      </c>
      <c r="G19" s="167">
        <f>IF(G13=0,0,'Indicadores Financeiros'!$J$92)</f>
        <v>613.78</v>
      </c>
      <c r="H19" s="167">
        <f>IF(H13=0,0,'Indicadores Financeiros'!$J$92)</f>
        <v>613.78</v>
      </c>
      <c r="I19" s="167">
        <f>IF(I13=0,0,'Indicadores Financeiros'!$J$92)</f>
        <v>613.78</v>
      </c>
      <c r="J19" s="167">
        <f>IF(J13=0,0,'Indicadores Financeiros'!$J$92)</f>
        <v>613.78</v>
      </c>
      <c r="K19" s="167">
        <f>IF(K13=0,0,'Indicadores Financeiros'!$J$92)</f>
        <v>613.78</v>
      </c>
      <c r="L19" s="167">
        <f>IF(L13=0,0,'Indicadores Financeiros'!$J$92)</f>
        <v>613.78</v>
      </c>
      <c r="M19" s="167">
        <f>IF(M13=0,0,'Indicadores Financeiros'!$J$92)</f>
        <v>613.78</v>
      </c>
      <c r="N19" s="167">
        <f>IF(N13=0,0,'Indicadores Financeiros'!$J$92)</f>
        <v>613.78</v>
      </c>
      <c r="CF19" s="92"/>
    </row>
    <row r="20" spans="1:84">
      <c r="A20" s="162" t="s">
        <v>96</v>
      </c>
      <c r="B20" s="167">
        <f>IF(B13=0,0,IF(VLOOKUP(B$7,'Indicadores Financeiros'!$A$107:$J$119,4,FALSE)="S",'Indicadores Financeiros'!$J$93,0))</f>
        <v>257.61</v>
      </c>
      <c r="C20" s="167">
        <f>IF(C13=0,0,IF(VLOOKUP(C$7,'Indicadores Financeiros'!$A$107:$J$119,4,FALSE)="S",'Indicadores Financeiros'!$J$93,0))</f>
        <v>0</v>
      </c>
      <c r="D20" s="167">
        <f>IF(D13=0,0,IF(VLOOKUP(D$7,'Indicadores Financeiros'!$A$107:$J$119,4,FALSE)="S",'Indicadores Financeiros'!$J$93,0))</f>
        <v>0</v>
      </c>
      <c r="E20" s="167">
        <f>IF(E13=0,0,IF(VLOOKUP(E$7,'Indicadores Financeiros'!$A$107:$J$119,4,FALSE)="S",'Indicadores Financeiros'!$J$93,0))</f>
        <v>0</v>
      </c>
      <c r="F20" s="167">
        <f>IF(F13=0,0,IF(VLOOKUP(F$7,'Indicadores Financeiros'!$A$107:$J$119,4,FALSE)="S",'Indicadores Financeiros'!$J$93,0))</f>
        <v>0</v>
      </c>
      <c r="G20" s="167">
        <f>IF(G13=0,0,IF(VLOOKUP(G$7,'Indicadores Financeiros'!$A$107:$J$119,4,FALSE)="S",'Indicadores Financeiros'!$J$93,0))</f>
        <v>0</v>
      </c>
      <c r="H20" s="167">
        <f>IF(H13=0,0,IF(VLOOKUP(H$7,'Indicadores Financeiros'!$A$107:$J$119,4,FALSE)="S",'Indicadores Financeiros'!$J$93,0))</f>
        <v>0</v>
      </c>
      <c r="I20" s="167">
        <f>IF(I13=0,0,IF(VLOOKUP(I$7,'Indicadores Financeiros'!$A$107:$J$119,4,FALSE)="S",'Indicadores Financeiros'!$J$93,0))</f>
        <v>0</v>
      </c>
      <c r="J20" s="167">
        <f>IF(J13=0,0,IF(VLOOKUP(J$7,'Indicadores Financeiros'!$A$107:$J$119,4,FALSE)="S",'Indicadores Financeiros'!$J$93,0))</f>
        <v>257.61</v>
      </c>
      <c r="K20" s="167">
        <f>IF(K13=0,0,IF(VLOOKUP(K$7,'Indicadores Financeiros'!$A$107:$J$119,4,FALSE)="S",'Indicadores Financeiros'!$J$93,0))</f>
        <v>0</v>
      </c>
      <c r="L20" s="167">
        <f>IF(L13=0,0,IF(VLOOKUP(L$7,'Indicadores Financeiros'!$A$107:$J$119,4,FALSE)="S",'Indicadores Financeiros'!$J$93,0))</f>
        <v>257.61</v>
      </c>
      <c r="M20" s="167">
        <f>IF(M13=0,0,IF(VLOOKUP(M$7,'Indicadores Financeiros'!$A$107:$J$119,4,FALSE)="S",'Indicadores Financeiros'!$J$93,0))</f>
        <v>0</v>
      </c>
      <c r="N20" s="167">
        <f>IF(N13=0,0,IF(VLOOKUP(N$7,'Indicadores Financeiros'!$A$107:$J$119,4,FALSE)="S",'Indicadores Financeiros'!$J$93,0))</f>
        <v>257.61</v>
      </c>
      <c r="CF20" s="92"/>
    </row>
    <row r="21" spans="1:84">
      <c r="A21" s="162" t="s">
        <v>245</v>
      </c>
      <c r="B21" s="167">
        <f>IF(B13=0,0,IF(VLOOKUP(B$7,'Indicadores Financeiros'!$A$107:$J$119,4,FALSE)="S",'Indicadores Financeiros'!$J$94,0))</f>
        <v>220.8</v>
      </c>
      <c r="C21" s="167">
        <f>IF(C13=0,0,IF(VLOOKUP(C$7,'Indicadores Financeiros'!$A$107:$J$119,4,FALSE)="S",'Indicadores Financeiros'!$J$94,0))</f>
        <v>0</v>
      </c>
      <c r="D21" s="167">
        <f>IF(D13=0,0,IF(VLOOKUP(D$7,'Indicadores Financeiros'!$A$107:$J$119,4,FALSE)="S",'Indicadores Financeiros'!$J$94,0))</f>
        <v>0</v>
      </c>
      <c r="E21" s="167">
        <f>IF(E13=0,0,IF(VLOOKUP(E$7,'Indicadores Financeiros'!$A$107:$J$119,4,FALSE)="S",'Indicadores Financeiros'!$J$94,0))</f>
        <v>0</v>
      </c>
      <c r="F21" s="167">
        <f>IF(F13=0,0,IF(VLOOKUP(F$7,'Indicadores Financeiros'!$A$107:$J$119,4,FALSE)="S",'Indicadores Financeiros'!$J$94,0))</f>
        <v>0</v>
      </c>
      <c r="G21" s="167">
        <f>IF(G13=0,0,IF(VLOOKUP(G$7,'Indicadores Financeiros'!$A$107:$J$119,4,FALSE)="S",'Indicadores Financeiros'!$J$94,0))</f>
        <v>0</v>
      </c>
      <c r="H21" s="167">
        <f>IF(H13=0,0,IF(VLOOKUP(H$7,'Indicadores Financeiros'!$A$107:$J$119,4,FALSE)="S",'Indicadores Financeiros'!$J$94,0))</f>
        <v>0</v>
      </c>
      <c r="I21" s="167">
        <f>IF(I13=0,0,IF(VLOOKUP(I$7,'Indicadores Financeiros'!$A$107:$J$119,4,FALSE)="S",'Indicadores Financeiros'!$J$94,0))</f>
        <v>0</v>
      </c>
      <c r="J21" s="167">
        <f>IF(J13=0,0,IF(VLOOKUP(J$7,'Indicadores Financeiros'!$A$107:$J$119,4,FALSE)="S",'Indicadores Financeiros'!$J$94,0))</f>
        <v>220.8</v>
      </c>
      <c r="K21" s="167">
        <f>IF(K13=0,0,IF(VLOOKUP(K$7,'Indicadores Financeiros'!$A$107:$J$119,4,FALSE)="S",'Indicadores Financeiros'!$J$94,0))</f>
        <v>0</v>
      </c>
      <c r="L21" s="167">
        <f>IF(L13=0,0,IF(VLOOKUP(L$7,'Indicadores Financeiros'!$A$107:$J$119,4,FALSE)="S",'Indicadores Financeiros'!$J$94,0))</f>
        <v>220.8</v>
      </c>
      <c r="M21" s="167">
        <f>IF(M13=0,0,IF(VLOOKUP(M$7,'Indicadores Financeiros'!$A$107:$J$119,4,FALSE)="S",'Indicadores Financeiros'!$J$94,0))</f>
        <v>0</v>
      </c>
      <c r="N21" s="167">
        <f>IF(N13=0,0,IF(VLOOKUP(N$7,'Indicadores Financeiros'!$A$107:$J$119,4,FALSE)="S",'Indicadores Financeiros'!$J$94,0))</f>
        <v>220.8</v>
      </c>
      <c r="CF21" s="92"/>
    </row>
    <row r="22" spans="1:84">
      <c r="A22" s="162" t="s">
        <v>99</v>
      </c>
      <c r="B22" s="168">
        <f>IF(B13=0,0,IF(AND(B$9="Posto/dia",VLOOKUP(B$7,'Indicadores Financeiros'!$A$107:$J$119,4,FALSE)="S"),'Indicadores Financeiros'!$J$95,0))</f>
        <v>294.39999999999998</v>
      </c>
      <c r="C22" s="168">
        <f>IF(C13=0,0,IF(AND(C$9="Posto/dia",VLOOKUP(C$7,'Indicadores Financeiros'!$A$107:$J$119,4,FALSE)="S"),'Indicadores Financeiros'!$J$95,0))</f>
        <v>0</v>
      </c>
      <c r="D22" s="168">
        <f>IF(D13=0,0,IF(AND(D$9="Posto/dia",VLOOKUP(D$7,'Indicadores Financeiros'!$A$107:$J$119,4,FALSE)="S"),'Indicadores Financeiros'!$J$95,0))</f>
        <v>0</v>
      </c>
      <c r="E22" s="168">
        <f>IF(E13=0,0,IF(AND(E$9="Posto/dia",VLOOKUP(E$7,'Indicadores Financeiros'!$A$107:$J$119,4,FALSE)="S"),'Indicadores Financeiros'!$J$95,0))</f>
        <v>0</v>
      </c>
      <c r="F22" s="168">
        <f>IF(F13=0,0,IF(AND(F$9="Posto/dia",VLOOKUP(F$7,'Indicadores Financeiros'!$A$107:$J$119,4,FALSE)="S"),'Indicadores Financeiros'!$J$95,0))</f>
        <v>0</v>
      </c>
      <c r="G22" s="168">
        <f>IF(G13=0,0,IF(AND(G$9="Posto/dia",VLOOKUP(G$7,'Indicadores Financeiros'!$A$107:$J$119,4,FALSE)="S"),'Indicadores Financeiros'!$J$95,0))</f>
        <v>0</v>
      </c>
      <c r="H22" s="168">
        <f>IF(H13=0,0,IF(AND(H$9="Posto/dia",VLOOKUP(H$7,'Indicadores Financeiros'!$A$107:$J$119,4,FALSE)="S"),'Indicadores Financeiros'!$J$95,0))</f>
        <v>0</v>
      </c>
      <c r="I22" s="168">
        <f>IF(I13=0,0,IF(AND(I$9="Posto/dia",VLOOKUP(I$7,'Indicadores Financeiros'!$A$107:$J$119,4,FALSE)="S"),'Indicadores Financeiros'!$J$95,0))</f>
        <v>0</v>
      </c>
      <c r="J22" s="168">
        <f>IF(J13=0,0,IF(AND(J$9="Posto/dia",VLOOKUP(J$7,'Indicadores Financeiros'!$A$107:$J$119,4,FALSE)="S"),'Indicadores Financeiros'!$J$95,0))</f>
        <v>0</v>
      </c>
      <c r="K22" s="168">
        <f>IF(K13=0,0,IF(AND(K$9="Posto/dia",VLOOKUP(K$7,'Indicadores Financeiros'!$A$107:$J$119,4,FALSE)="S"),'Indicadores Financeiros'!$J$95,0))</f>
        <v>0</v>
      </c>
      <c r="L22" s="168">
        <f>IF(L13=0,0,IF(AND(L$9="Posto/dia",VLOOKUP(L$7,'Indicadores Financeiros'!$A$107:$J$119,4,FALSE)="S"),'Indicadores Financeiros'!$J$95,0))</f>
        <v>0</v>
      </c>
      <c r="M22" s="168">
        <f>IF(M13=0,0,IF(AND(M$9="Posto/dia",VLOOKUP(M$7,'Indicadores Financeiros'!$A$107:$J$119,4,FALSE)="S"),'Indicadores Financeiros'!$J$95,0))</f>
        <v>0</v>
      </c>
      <c r="N22" s="168">
        <f>IF(N13=0,0,IF(AND(N$9="Posto/dia",VLOOKUP(N$7,'Indicadores Financeiros'!$A$107:$J$119,4,FALSE)="S"),'Indicadores Financeiros'!$J$95,0))</f>
        <v>0</v>
      </c>
      <c r="O22" s="248"/>
      <c r="CF22" s="92"/>
    </row>
    <row r="23" spans="1:84">
      <c r="A23" s="162" t="s">
        <v>246</v>
      </c>
      <c r="B23" s="167">
        <f>IF(B18=0,0,IF(B$9="Posto/dia líder",'Indicadores Financeiros'!$J$96,0))</f>
        <v>0</v>
      </c>
      <c r="C23" s="167">
        <f>IF(C18=0,0,IF(C$9="Posto/dia líder",'Indicadores Financeiros'!$J$96,0))</f>
        <v>0</v>
      </c>
      <c r="D23" s="167">
        <f>IF(D18=0,0,IF(D$9="Posto/dia líder",'Indicadores Financeiros'!$J$96,0))</f>
        <v>0</v>
      </c>
      <c r="E23" s="167">
        <f>IF(E18=0,0,IF(E$9="Posto/dia líder",'Indicadores Financeiros'!$J$96,0))</f>
        <v>0</v>
      </c>
      <c r="F23" s="167">
        <f>IF(F18=0,0,IF(F$9="Posto/dia líder",'Indicadores Financeiros'!$J$96,0))</f>
        <v>0</v>
      </c>
      <c r="G23" s="167">
        <f>IF(G18=0,0,IF(G$9="Posto/dia líder",'Indicadores Financeiros'!$J$96,0))</f>
        <v>245.51</v>
      </c>
      <c r="H23" s="167">
        <f>IF(H18=0,0,IF(H$9="Posto/dia líder",'Indicadores Financeiros'!$J$96,0))</f>
        <v>0</v>
      </c>
      <c r="I23" s="167">
        <f>IF(I18=0,0,IF(I$9="Posto/dia líder",'Indicadores Financeiros'!$J$96,0))</f>
        <v>0</v>
      </c>
      <c r="J23" s="167">
        <f>IF(J18=0,0,IF(J$9="Posto/dia líder",'Indicadores Financeiros'!$J$96,0))</f>
        <v>0</v>
      </c>
      <c r="K23" s="167">
        <f>IF(K18=0,0,IF(K$9="Posto/dia líder",'Indicadores Financeiros'!$J$96,0))</f>
        <v>0</v>
      </c>
      <c r="L23" s="167">
        <f>IF(L18=0,0,IF(L$9="Posto/dia líder",'Indicadores Financeiros'!$J$96,0))</f>
        <v>0</v>
      </c>
      <c r="M23" s="167">
        <f>IF(M18=0,0,IF(M$9="Posto/dia líder",'Indicadores Financeiros'!$J$96,0))</f>
        <v>0</v>
      </c>
      <c r="N23" s="167">
        <f>IF(N18=0,0,IF(N$9="Posto/dia líder",'Indicadores Financeiros'!$J$96,0))</f>
        <v>0</v>
      </c>
      <c r="O23" s="248"/>
      <c r="CF23" s="92"/>
    </row>
    <row r="24" spans="1:84">
      <c r="A24" s="162" t="s">
        <v>247</v>
      </c>
      <c r="B24" s="167">
        <f>IF(B13=0,0,IF(B$9="Posto/hora extra",'Indicadores Financeiros'!$J$85*SUM(B18:B21),0))</f>
        <v>0</v>
      </c>
      <c r="C24" s="167">
        <f>IF(C13=0,0,IF(C$9="Posto/hora extra",'Indicadores Financeiros'!$J$85*SUM(C18:C21),0))</f>
        <v>0</v>
      </c>
      <c r="D24" s="167">
        <f>IF(D13=0,0,IF(D$9="Posto/hora extra",'Indicadores Financeiros'!$J$85*SUM(D18:D21),0))</f>
        <v>0</v>
      </c>
      <c r="E24" s="167">
        <f>IF(E13=0,0,IF(E$9="Posto/hora extra",'Indicadores Financeiros'!$J$85*SUM(E18:E21),0))</f>
        <v>0</v>
      </c>
      <c r="F24" s="167">
        <f>IF(F13=0,0,IF(F$9="Posto/hora extra",'Indicadores Financeiros'!$J$85*SUM(F18:F21),0))</f>
        <v>0</v>
      </c>
      <c r="G24" s="167">
        <f>IF(G13=0,0,IF(G$9="Posto/hora extra",'Indicadores Financeiros'!$J$85*SUM(G18:G21),0))</f>
        <v>0</v>
      </c>
      <c r="H24" s="167">
        <f>IF(H13=0,0,IF(H$9="Posto/hora extra",'Indicadores Financeiros'!$J$85*SUM(H18:H21),0))</f>
        <v>0</v>
      </c>
      <c r="I24" s="167">
        <f>IF(I13=0,0,IF(I$9="Posto/hora extra",'Indicadores Financeiros'!$J$85*SUM(I18:I21),0))</f>
        <v>0</v>
      </c>
      <c r="J24" s="167">
        <f>IF(J13=0,0,IF(J$9="Posto/hora extra",'Indicadores Financeiros'!$J$85*SUM(J18:J21),0))</f>
        <v>0</v>
      </c>
      <c r="K24" s="167">
        <f>IF(K13=0,0,IF(K$9="Posto/hora extra",'Indicadores Financeiros'!$J$85*SUM(K18:K21),0))</f>
        <v>0</v>
      </c>
      <c r="L24" s="167">
        <f>IF(L13=0,0,IF(L$9="Posto/hora extra",'Indicadores Financeiros'!$J$85*SUM(L18:L21),0))</f>
        <v>0</v>
      </c>
      <c r="M24" s="167">
        <f>IF(M13=0,0,IF(M$9="Posto/hora extra",'Indicadores Financeiros'!$J$85*SUM(M18:M21),0))</f>
        <v>1595.82</v>
      </c>
      <c r="N24" s="167">
        <f>IF(N13=0,0,IF(N$9="Posto/hora extra",'Indicadores Financeiros'!$J$85*SUM(N18:N21),0))</f>
        <v>1882.866</v>
      </c>
      <c r="O24" s="248"/>
      <c r="CF24" s="92"/>
    </row>
    <row r="25" spans="1:84">
      <c r="A25" s="169" t="s">
        <v>248</v>
      </c>
      <c r="B25" s="170">
        <f>ROUND(SUM(B18:B24),2)</f>
        <v>3432.51</v>
      </c>
      <c r="C25" s="170">
        <f t="shared" ref="C25:N25" si="0">ROUND(SUM(C18:C24),2)</f>
        <v>2659.7</v>
      </c>
      <c r="D25" s="170">
        <f t="shared" si="0"/>
        <v>2659.7</v>
      </c>
      <c r="E25" s="170">
        <f t="shared" si="0"/>
        <v>2659.7</v>
      </c>
      <c r="F25" s="170">
        <f t="shared" si="0"/>
        <v>2659.7</v>
      </c>
      <c r="G25" s="170">
        <f t="shared" si="0"/>
        <v>2905.21</v>
      </c>
      <c r="H25" s="170">
        <f t="shared" ref="H25" si="1">ROUND(SUM(H18:H24),2)</f>
        <v>2659.7</v>
      </c>
      <c r="I25" s="170">
        <f t="shared" si="0"/>
        <v>2659.7</v>
      </c>
      <c r="J25" s="170">
        <f t="shared" si="0"/>
        <v>3138.11</v>
      </c>
      <c r="K25" s="170">
        <f t="shared" si="0"/>
        <v>2659.7</v>
      </c>
      <c r="L25" s="170">
        <f t="shared" si="0"/>
        <v>3138.11</v>
      </c>
      <c r="M25" s="170">
        <f t="shared" si="0"/>
        <v>4255.5200000000004</v>
      </c>
      <c r="N25" s="170">
        <f t="shared" si="0"/>
        <v>5020.9799999999996</v>
      </c>
      <c r="CF25" s="92"/>
    </row>
    <row r="26" spans="1:84">
      <c r="A26" s="162" t="s">
        <v>249</v>
      </c>
      <c r="B26" s="171">
        <f>IF(B13=0,0,'Indicadores Financeiros'!$J$62)</f>
        <v>0.7299000000000001</v>
      </c>
      <c r="C26" s="171">
        <f>IF(C13=0,0,'Indicadores Financeiros'!$J$62)</f>
        <v>0.7299000000000001</v>
      </c>
      <c r="D26" s="171">
        <f>IF(D13=0,0,'Indicadores Financeiros'!$J$62)</f>
        <v>0.7299000000000001</v>
      </c>
      <c r="E26" s="171">
        <f>IF(E13=0,0,'Indicadores Financeiros'!$J$62)</f>
        <v>0.7299000000000001</v>
      </c>
      <c r="F26" s="171">
        <f>IF(F13=0,0,'Indicadores Financeiros'!$J$62)</f>
        <v>0.7299000000000001</v>
      </c>
      <c r="G26" s="171">
        <f>IF(G13=0,0,'Indicadores Financeiros'!$J$62)</f>
        <v>0.7299000000000001</v>
      </c>
      <c r="H26" s="171">
        <f>IF(H13=0,0,'Indicadores Financeiros'!$J$62)</f>
        <v>0.7299000000000001</v>
      </c>
      <c r="I26" s="171">
        <f>IF(I13=0,0,'Indicadores Financeiros'!$J$62)</f>
        <v>0.7299000000000001</v>
      </c>
      <c r="J26" s="171">
        <f>IF(J13=0,0,'Indicadores Financeiros'!$J$62)</f>
        <v>0.7299000000000001</v>
      </c>
      <c r="K26" s="171">
        <f>IF(K13=0,0,'Indicadores Financeiros'!$J$62)</f>
        <v>0.7299000000000001</v>
      </c>
      <c r="L26" s="171">
        <f>IF(L13=0,0,'Indicadores Financeiros'!$J$62)</f>
        <v>0.7299000000000001</v>
      </c>
      <c r="M26" s="171">
        <f>IF(M13=0,0,'Indicadores Financeiros'!$J$62)</f>
        <v>0.7299000000000001</v>
      </c>
      <c r="N26" s="171">
        <f>IF(N13=0,0,'Indicadores Financeiros'!$J$62)</f>
        <v>0.7299000000000001</v>
      </c>
      <c r="CF26" s="92"/>
    </row>
    <row r="27" spans="1:84" ht="16.5" customHeight="1">
      <c r="A27" s="169" t="s">
        <v>248</v>
      </c>
      <c r="B27" s="170">
        <f t="shared" ref="B27:H27" si="2">IFERROR(ROUND(B25*B26,2),"-")</f>
        <v>2505.39</v>
      </c>
      <c r="C27" s="170">
        <f t="shared" si="2"/>
        <v>1941.32</v>
      </c>
      <c r="D27" s="170">
        <f t="shared" si="2"/>
        <v>1941.32</v>
      </c>
      <c r="E27" s="170">
        <f t="shared" si="2"/>
        <v>1941.32</v>
      </c>
      <c r="F27" s="170">
        <f t="shared" si="2"/>
        <v>1941.32</v>
      </c>
      <c r="G27" s="170">
        <f t="shared" si="2"/>
        <v>2120.5100000000002</v>
      </c>
      <c r="H27" s="170">
        <f t="shared" si="2"/>
        <v>1941.32</v>
      </c>
      <c r="I27" s="170">
        <f t="shared" ref="I27:N27" si="3">IFERROR(ROUND(I25*I26,2),"-")</f>
        <v>1941.32</v>
      </c>
      <c r="J27" s="170">
        <f t="shared" si="3"/>
        <v>2290.5100000000002</v>
      </c>
      <c r="K27" s="170">
        <f t="shared" si="3"/>
        <v>1941.32</v>
      </c>
      <c r="L27" s="170">
        <f t="shared" si="3"/>
        <v>2290.5100000000002</v>
      </c>
      <c r="M27" s="170">
        <f t="shared" si="3"/>
        <v>3106.1</v>
      </c>
      <c r="N27" s="170">
        <f t="shared" si="3"/>
        <v>3664.81</v>
      </c>
      <c r="CF27" s="92"/>
    </row>
    <row r="28" spans="1:84" ht="15" customHeight="1">
      <c r="A28" s="169" t="s">
        <v>250</v>
      </c>
      <c r="B28" s="170">
        <f>ROUND(B25+B27,2)</f>
        <v>5937.9</v>
      </c>
      <c r="C28" s="170">
        <f t="shared" ref="C28:N28" si="4">ROUND(C25+C27,2)</f>
        <v>4601.0200000000004</v>
      </c>
      <c r="D28" s="170">
        <f t="shared" si="4"/>
        <v>4601.0200000000004</v>
      </c>
      <c r="E28" s="170">
        <f t="shared" si="4"/>
        <v>4601.0200000000004</v>
      </c>
      <c r="F28" s="170">
        <f t="shared" si="4"/>
        <v>4601.0200000000004</v>
      </c>
      <c r="G28" s="170">
        <f t="shared" si="4"/>
        <v>5025.72</v>
      </c>
      <c r="H28" s="170">
        <f t="shared" ref="H28" si="5">ROUND(H25+H27,2)</f>
        <v>4601.0200000000004</v>
      </c>
      <c r="I28" s="170">
        <f t="shared" si="4"/>
        <v>4601.0200000000004</v>
      </c>
      <c r="J28" s="170">
        <f t="shared" si="4"/>
        <v>5428.62</v>
      </c>
      <c r="K28" s="170">
        <f t="shared" si="4"/>
        <v>4601.0200000000004</v>
      </c>
      <c r="L28" s="170">
        <f t="shared" si="4"/>
        <v>5428.62</v>
      </c>
      <c r="M28" s="170">
        <f t="shared" si="4"/>
        <v>7361.62</v>
      </c>
      <c r="N28" s="170">
        <f t="shared" si="4"/>
        <v>8685.7900000000009</v>
      </c>
      <c r="CF28" s="92"/>
    </row>
    <row r="29" spans="1:84">
      <c r="A29" s="96"/>
      <c r="B29" s="97"/>
      <c r="C29" s="97"/>
      <c r="D29" s="98"/>
      <c r="E29" s="97"/>
      <c r="F29" s="97"/>
      <c r="G29" s="97"/>
      <c r="H29" s="98"/>
      <c r="I29" s="97"/>
      <c r="J29" s="97"/>
      <c r="K29" s="97"/>
      <c r="L29" s="97"/>
      <c r="M29" s="97"/>
      <c r="N29" s="97"/>
      <c r="CF29" s="92"/>
    </row>
    <row r="30" spans="1:84">
      <c r="A30" s="172" t="s">
        <v>251</v>
      </c>
      <c r="B30" s="166" t="s">
        <v>110</v>
      </c>
      <c r="C30" s="166" t="s">
        <v>110</v>
      </c>
      <c r="D30" s="166" t="s">
        <v>110</v>
      </c>
      <c r="E30" s="166" t="s">
        <v>110</v>
      </c>
      <c r="F30" s="166" t="s">
        <v>110</v>
      </c>
      <c r="G30" s="166" t="s">
        <v>110</v>
      </c>
      <c r="H30" s="166" t="s">
        <v>110</v>
      </c>
      <c r="I30" s="166" t="s">
        <v>110</v>
      </c>
      <c r="J30" s="166" t="s">
        <v>110</v>
      </c>
      <c r="K30" s="166" t="s">
        <v>110</v>
      </c>
      <c r="L30" s="166" t="s">
        <v>110</v>
      </c>
      <c r="M30" s="166" t="s">
        <v>110</v>
      </c>
      <c r="N30" s="166" t="s">
        <v>110</v>
      </c>
      <c r="CF30" s="92"/>
    </row>
    <row r="31" spans="1:84">
      <c r="A31" s="173" t="s">
        <v>109</v>
      </c>
      <c r="B31" s="167">
        <f>IF(OR(B$13=0,B$9="posto/hora extra",'Indicadores Financeiros'!$J$91=0),0,IF(OR(B$9="Posto/dia",B$9="Posto/dia líder"),'Indicadores Financeiros'!$J$98,ROUND('Indicadores Financeiros'!$J$86*B11,2)))</f>
        <v>193.94000000000003</v>
      </c>
      <c r="C31" s="167">
        <f>IF(OR(C$13=0,C$9="posto/hora extra",'Indicadores Financeiros'!$J$91=0),0,IF(OR(C$9="Posto/dia",C$9="Posto/dia líder"),'Indicadores Financeiros'!$J$98,ROUND('Indicadores Financeiros'!$J$86*C11,2)))</f>
        <v>193.94000000000003</v>
      </c>
      <c r="D31" s="167">
        <f>IF(OR(D$13=0,D$9="posto/hora extra",'Indicadores Financeiros'!$J$91=0),0,IF(OR(D$9="Posto/dia",D$9="Posto/dia líder"),'Indicadores Financeiros'!$J$98,ROUND('Indicadores Financeiros'!$J$86*D11,2)))</f>
        <v>193.94000000000003</v>
      </c>
      <c r="E31" s="167">
        <f>IF(OR(E$13=0,E$9="posto/hora extra",'Indicadores Financeiros'!$J$91=0),0,IF(OR(E$9="Posto/dia",E$9="Posto/dia líder"),'Indicadores Financeiros'!$J$98,ROUND('Indicadores Financeiros'!$J$86*E11,2)))</f>
        <v>193.94000000000003</v>
      </c>
      <c r="F31" s="167">
        <f>IF(OR(F$13=0,F$9="posto/hora extra",'Indicadores Financeiros'!$J$91=0),0,IF(OR(F$9="Posto/dia",F$9="Posto/dia líder"),'Indicadores Financeiros'!$J$98,ROUND('Indicadores Financeiros'!$J$86*F11,2)))</f>
        <v>193.94000000000003</v>
      </c>
      <c r="G31" s="167">
        <f>IF(OR(G$13=0,G$9="posto/hora extra",'Indicadores Financeiros'!$J$91=0),0,IF(OR(G$9="Posto/dia",G$9="Posto/dia líder"),'Indicadores Financeiros'!$J$98,ROUND('Indicadores Financeiros'!$J$86*G11,2)))</f>
        <v>193.94000000000003</v>
      </c>
      <c r="H31" s="167">
        <f>IF(OR(H$13=0,H$9="posto/hora extra",'Indicadores Financeiros'!$J$91=0),0,IF(OR(H$9="Posto/dia",H$9="Posto/dia líder"),'Indicadores Financeiros'!$J$98,ROUND('Indicadores Financeiros'!$J$86*H11,2)))</f>
        <v>193.94000000000003</v>
      </c>
      <c r="I31" s="167">
        <f>IF(OR(I$13=0,I$9="posto/hora extra",'Indicadores Financeiros'!$J$91=0),0,IF(OR(I$9="Posto/dia",I$9="Posto/dia líder"),'Indicadores Financeiros'!$J$98,ROUND('Indicadores Financeiros'!$J$86*I11,2)))</f>
        <v>159.18</v>
      </c>
      <c r="J31" s="167">
        <f>IF(OR(J$13=0,J$9="posto/hora extra",'Indicadores Financeiros'!$J$91=0),0,IF(OR(J$9="Posto/dia",J$9="Posto/dia líder"),'Indicadores Financeiros'!$J$98,ROUND('Indicadores Financeiros'!$J$86*J11,2)))</f>
        <v>159.18</v>
      </c>
      <c r="K31" s="167">
        <f>IF(OR(K$13=0,K$9="posto/hora extra",'Indicadores Financeiros'!$J$91=0),0,IF(OR(K$9="Posto/dia",K$9="Posto/dia líder"),'Indicadores Financeiros'!$J$98,ROUND('Indicadores Financeiros'!$J$86*K11,2)))</f>
        <v>159.18</v>
      </c>
      <c r="L31" s="167">
        <f>IF(OR(L$13=0,L$9="posto/hora extra",'Indicadores Financeiros'!$J$91=0),0,IF(OR(L$9="Posto/dia",L$9="Posto/dia líder"),'Indicadores Financeiros'!$J$98,ROUND('Indicadores Financeiros'!$J$86*L11,2)))</f>
        <v>159.18</v>
      </c>
      <c r="M31" s="167">
        <f>IF(OR(M$13=0,M$9="posto/hora extra",'Indicadores Financeiros'!$J$91=0),0,IF(OR(M$9="Posto/dia",M$9="Posto/dia líder"),'Indicadores Financeiros'!$J$98,ROUND('Indicadores Financeiros'!$J$86*M11,2)))</f>
        <v>0</v>
      </c>
      <c r="N31" s="167">
        <f>IF(OR(N$13=0,N$9="posto/hora extra",'Indicadores Financeiros'!$J$91=0),0,IF(OR(N$9="Posto/dia",N$9="Posto/dia líder"),'Indicadores Financeiros'!$J$98,ROUND('Indicadores Financeiros'!$J$86*N11,2)))</f>
        <v>0</v>
      </c>
      <c r="CF31" s="92"/>
    </row>
    <row r="32" spans="1:84">
      <c r="A32" s="162" t="s">
        <v>112</v>
      </c>
      <c r="B32" s="167">
        <f>IF(B13=0,0,IF(OR(B$9="Posto/dia",B$9="Posto/dia líder"),'Indicadores Financeiros'!$J$99,0))</f>
        <v>0.49</v>
      </c>
      <c r="C32" s="167">
        <f>IF(C13=0,0,IF(OR(C$9="Posto/dia",C$9="Posto/dia líder"),'Indicadores Financeiros'!$J$99,0))</f>
        <v>0.49</v>
      </c>
      <c r="D32" s="167">
        <f>IF(D13=0,0,IF(OR(D$9="Posto/dia",D$9="Posto/dia líder"),'Indicadores Financeiros'!$J$99,0))</f>
        <v>0.49</v>
      </c>
      <c r="E32" s="167">
        <f>IF(E13=0,0,IF(OR(E$9="Posto/dia",E$9="Posto/dia líder"),'Indicadores Financeiros'!$J$99,0))</f>
        <v>0.49</v>
      </c>
      <c r="F32" s="167">
        <f>IF(F13=0,0,IF(OR(F$9="Posto/dia",F$9="Posto/dia líder"),'Indicadores Financeiros'!$J$99,0))</f>
        <v>0.49</v>
      </c>
      <c r="G32" s="167">
        <f>IF(G13=0,0,IF(OR(G$9="Posto/dia",G$9="Posto/dia líder"),'Indicadores Financeiros'!$J$99,0))</f>
        <v>0.49</v>
      </c>
      <c r="H32" s="167">
        <f>IF(H13=0,0,IF(OR(H$9="Posto/dia",H$9="Posto/dia líder"),'Indicadores Financeiros'!$J$99,0))</f>
        <v>0.49</v>
      </c>
      <c r="I32" s="167">
        <f>IF(I13=0,0,IF(OR(I$9="Posto/dia",I$9="Posto/dia líder"),'Indicadores Financeiros'!$J$99,0))</f>
        <v>0</v>
      </c>
      <c r="J32" s="167">
        <f>IF(J13=0,0,IF(OR(J$9="Posto/dia",J$9="Posto/dia líder"),'Indicadores Financeiros'!$J$99,0))</f>
        <v>0</v>
      </c>
      <c r="K32" s="167">
        <f>IF(K13=0,0,IF(OR(K$9="Posto/dia",K$9="Posto/dia líder"),'Indicadores Financeiros'!$J$99,0))</f>
        <v>0</v>
      </c>
      <c r="L32" s="167">
        <f>IF(L13=0,0,IF(OR(L$9="Posto/dia",L$9="Posto/dia líder"),'Indicadores Financeiros'!$J$99,0))</f>
        <v>0</v>
      </c>
      <c r="M32" s="167">
        <f>IF(M13=0,0,IF(OR(M$9="Posto/dia",M$9="Posto/dia líder"),'Indicadores Financeiros'!$J$99,0))</f>
        <v>0</v>
      </c>
      <c r="N32" s="167">
        <f>IF(N13=0,0,IF(OR(N$9="Posto/dia",N$9="Posto/dia líder"),'Indicadores Financeiros'!$J$99,0))</f>
        <v>0</v>
      </c>
      <c r="CF32" s="92"/>
    </row>
    <row r="33" spans="1:84" hidden="1">
      <c r="A33" s="173" t="s">
        <v>113</v>
      </c>
      <c r="B33" s="167">
        <f>IF(B13=0,0,'Indicadores Financeiros'!$J$100)</f>
        <v>0</v>
      </c>
      <c r="C33" s="167">
        <f>IF(C13=0,0,'Indicadores Financeiros'!$J$100)</f>
        <v>0</v>
      </c>
      <c r="D33" s="167">
        <f>IF(D13=0,0,'Indicadores Financeiros'!$J$100)</f>
        <v>0</v>
      </c>
      <c r="E33" s="167">
        <f>IF(E13=0,0,'Indicadores Financeiros'!$J$100)</f>
        <v>0</v>
      </c>
      <c r="F33" s="167">
        <f>IF(F13=0,0,'Indicadores Financeiros'!$J$100)</f>
        <v>0</v>
      </c>
      <c r="G33" s="167">
        <f>IF(G13=0,0,'Indicadores Financeiros'!$J$100)</f>
        <v>0</v>
      </c>
      <c r="H33" s="167">
        <f>IF(H13=0,0,'Indicadores Financeiros'!$J$100)</f>
        <v>0</v>
      </c>
      <c r="I33" s="167"/>
      <c r="J33" s="167"/>
      <c r="K33" s="167"/>
      <c r="L33" s="167"/>
      <c r="M33" s="167"/>
      <c r="N33" s="167"/>
      <c r="CF33" s="92"/>
    </row>
    <row r="34" spans="1:84">
      <c r="A34" s="162" t="s">
        <v>114</v>
      </c>
      <c r="B34" s="167">
        <f>IF(B13=0,0,IF(OR(B$9="Posto/dia",B$9="Posto/dia líder"),'Indicadores Financeiros'!$J$101,0))</f>
        <v>5.95</v>
      </c>
      <c r="C34" s="167">
        <f>IF(C13=0,0,IF(OR(C$9="Posto/dia",C$9="Posto/dia líder"),'Indicadores Financeiros'!$J$101,0))</f>
        <v>5.95</v>
      </c>
      <c r="D34" s="167">
        <f>IF(D13=0,0,IF(OR(D$9="Posto/dia",D$9="Posto/dia líder"),'Indicadores Financeiros'!$J$101,0))</f>
        <v>5.95</v>
      </c>
      <c r="E34" s="167">
        <f>IF(E13=0,0,IF(OR(E$9="Posto/dia",E$9="Posto/dia líder"),'Indicadores Financeiros'!$J$101,0))</f>
        <v>5.95</v>
      </c>
      <c r="F34" s="167">
        <f>IF(F13=0,0,IF(OR(F$9="Posto/dia",F$9="Posto/dia líder"),'Indicadores Financeiros'!$J$101,0))</f>
        <v>5.95</v>
      </c>
      <c r="G34" s="167">
        <f>IF(G13=0,0,IF(OR(G$9="Posto/dia",G$9="Posto/dia líder"),'Indicadores Financeiros'!$J$101,0))</f>
        <v>5.95</v>
      </c>
      <c r="H34" s="167">
        <f>IF(H13=0,0,IF(OR(H$9="Posto/dia",H$9="Posto/dia líder"),'Indicadores Financeiros'!$J$101,0))</f>
        <v>5.95</v>
      </c>
      <c r="I34" s="167">
        <f>IF(I13=0,0,IF(OR(I$9="Posto/dia",I$9="Posto/dia líder"),'Indicadores Financeiros'!$J$101,0))</f>
        <v>0</v>
      </c>
      <c r="J34" s="167">
        <f>IF(J13=0,0,IF(OR(J$9="Posto/dia",J$9="Posto/dia líder"),'Indicadores Financeiros'!$J$101,0))</f>
        <v>0</v>
      </c>
      <c r="K34" s="167">
        <f>IF(K13=0,0,IF(OR(K$9="Posto/dia",K$9="Posto/dia líder"),'Indicadores Financeiros'!$J$101,0))</f>
        <v>0</v>
      </c>
      <c r="L34" s="167">
        <f>IF(L13=0,0,IF(OR(L$9="Posto/dia",L$9="Posto/dia líder"),'Indicadores Financeiros'!$J$101,0))</f>
        <v>0</v>
      </c>
      <c r="M34" s="167">
        <f>IF(M13=0,0,IF(OR(M$9="Posto/dia",M$9="Posto/dia líder"),'Indicadores Financeiros'!$J$101,0))</f>
        <v>0</v>
      </c>
      <c r="N34" s="167">
        <f>IF(N13=0,0,IF(OR(N$9="Posto/dia",N$9="Posto/dia líder"),'Indicadores Financeiros'!$J$101,0))</f>
        <v>0</v>
      </c>
      <c r="CF34" s="92"/>
    </row>
    <row r="35" spans="1:84">
      <c r="A35" s="173" t="s">
        <v>115</v>
      </c>
      <c r="B35" s="167">
        <f>IF(B14=0,0,IF(OR(B$9="Posto/dia",B$9="Posto/dia líder"),'Indicadores Financeiros'!$J$102,0))</f>
        <v>27.3</v>
      </c>
      <c r="C35" s="167">
        <f>IF(C14=0,0,IF(OR(C$9="Posto/dia",C$9="Posto/dia líder"),'Indicadores Financeiros'!$J$102,0))</f>
        <v>27.3</v>
      </c>
      <c r="D35" s="167">
        <f>IF(D14=0,0,IF(OR(D$9="Posto/dia",D$9="Posto/dia líder"),'Indicadores Financeiros'!$J$102,0))</f>
        <v>27.3</v>
      </c>
      <c r="E35" s="167">
        <f>IF(E14=0,0,IF(OR(E$9="Posto/dia",E$9="Posto/dia líder"),'Indicadores Financeiros'!$J$102,0))</f>
        <v>27.3</v>
      </c>
      <c r="F35" s="167">
        <f>IF(F14=0,0,IF(OR(F$9="Posto/dia",F$9="Posto/dia líder"),'Indicadores Financeiros'!$J$102,0))</f>
        <v>27.3</v>
      </c>
      <c r="G35" s="167">
        <f>IF(G14=0,0,IF(OR(G$9="Posto/dia",G$9="Posto/dia líder"),'Indicadores Financeiros'!$J$102,0))</f>
        <v>27.3</v>
      </c>
      <c r="H35" s="167">
        <f>IF(H14=0,0,IF(OR(H$9="Posto/dia",H$9="Posto/dia líder"),'Indicadores Financeiros'!$J$102,0))</f>
        <v>27.3</v>
      </c>
      <c r="I35" s="167">
        <f>IF(I14=0,0,IF(OR(I$9="Posto/dia",I$9="Posto/dia líder"),'Indicadores Financeiros'!$J$102,0))</f>
        <v>0</v>
      </c>
      <c r="J35" s="167">
        <f>IF(J14=0,0,IF(OR(J$9="Posto/dia",J$9="Posto/dia líder"),'Indicadores Financeiros'!$J$102,0))</f>
        <v>0</v>
      </c>
      <c r="K35" s="167">
        <f>IF(K14=0,0,IF(OR(K$9="Posto/dia",K$9="Posto/dia líder"),'Indicadores Financeiros'!$J$102,0))</f>
        <v>0</v>
      </c>
      <c r="L35" s="167">
        <f>IF(L14=0,0,IF(OR(L$9="Posto/dia",L$9="Posto/dia líder"),'Indicadores Financeiros'!$J$102,0))</f>
        <v>0</v>
      </c>
      <c r="M35" s="167">
        <f>IF(M14=0,0,IF(OR(M$9="Posto/dia",M$9="Posto/dia líder"),'Indicadores Financeiros'!$J$102,0))</f>
        <v>0</v>
      </c>
      <c r="N35" s="167">
        <f>IF(N14=0,0,IF(OR(N$9="Posto/dia",N$9="Posto/dia líder"),'Indicadores Financeiros'!$J$102,0))</f>
        <v>0</v>
      </c>
      <c r="CF35" s="92"/>
    </row>
    <row r="36" spans="1:84">
      <c r="A36" s="173" t="s">
        <v>116</v>
      </c>
      <c r="B36" s="167">
        <f>IF(OR(B13=0,B$9="posto/hora extra"),0,IFERROR(ROUND('Indicadores Financeiros'!$J$103*B$11,2),"-"))</f>
        <v>461.77</v>
      </c>
      <c r="C36" s="167">
        <f>IF(OR(C13=0,C$9="posto/hora extra"),0,IFERROR(ROUND('Indicadores Financeiros'!$J$103*C$11,2),"-"))</f>
        <v>461.77</v>
      </c>
      <c r="D36" s="167">
        <f>IF(OR(D13=0,D$9="posto/hora extra"),0,IFERROR(ROUND('Indicadores Financeiros'!$J$103*D$11,2),"-"))</f>
        <v>637.14</v>
      </c>
      <c r="E36" s="167">
        <f>IF(OR(E13=0,E$9="posto/hora extra"),0,IFERROR(ROUND('Indicadores Financeiros'!$J$103*E$11,2),"-"))</f>
        <v>637.14</v>
      </c>
      <c r="F36" s="167">
        <f>IF(OR(F13=0,F$9="posto/hora extra"),0,IFERROR(ROUND('Indicadores Financeiros'!$J$103*F$11,2),"-"))</f>
        <v>637.14</v>
      </c>
      <c r="G36" s="167">
        <f>IF(OR(G13=0,G$9="posto/hora extra"),0,IFERROR(ROUND('Indicadores Financeiros'!$J$103*G$11,2),"-"))</f>
        <v>461.77</v>
      </c>
      <c r="H36" s="167">
        <f>IF(OR(H13=0,H$9="posto/hora extra"),0,IFERROR(ROUND('Indicadores Financeiros'!$J$103*H$11,2),"-"))</f>
        <v>637.14</v>
      </c>
      <c r="I36" s="167">
        <f>IF(OR(I13=0,I$9="posto/hora extra"),0,IFERROR(ROUND('Indicadores Financeiros'!$J$103*I$11,2),"-"))</f>
        <v>637.14</v>
      </c>
      <c r="J36" s="167">
        <f>IF(OR(J13=0,J$9="posto/hora extra"),0,IFERROR(ROUND('Indicadores Financeiros'!$J$103*J$11,2),"-"))</f>
        <v>637.14</v>
      </c>
      <c r="K36" s="167">
        <f>IF(OR(K13=0,K$9="posto/hora extra"),0,IFERROR(ROUND('Indicadores Financeiros'!$J$103*K$11,2),"-"))</f>
        <v>637.14</v>
      </c>
      <c r="L36" s="167">
        <f>IF(OR(L13=0,L$9="posto/hora extra"),0,IFERROR(ROUND('Indicadores Financeiros'!$J$103*L$11,2),"-"))</f>
        <v>637.14</v>
      </c>
      <c r="M36" s="167">
        <f>IF(OR(M13=0,M$9="posto/hora extra"),0,IFERROR(ROUND('Indicadores Financeiros'!$J$103*M$11,2),"-"))</f>
        <v>0</v>
      </c>
      <c r="N36" s="167">
        <f>IF(OR(N13=0,N$9="posto/hora extra"),0,IFERROR(ROUND('Indicadores Financeiros'!$J$103*N$11,2),"-"))</f>
        <v>0</v>
      </c>
      <c r="CF36" s="92"/>
    </row>
    <row r="37" spans="1:84">
      <c r="A37" s="173" t="s">
        <v>252</v>
      </c>
      <c r="B37" s="167">
        <f>IF(OR(B13=0,B$9="posto/hora extra"),0,IF(OR(B$9="Posto/dia",B$9="Posto/dia líder"),IF(ROUND((VLOOKUP($A$3,'Indicadores Financeiros'!$B$123:$J$280,8,FALSE)*B$11)-(B$18*6%),2)&lt;0,0,ROUND((VLOOKUP($A$3,'Indicadores Financeiros'!$B$123:$J$280,8,FALSE)*B$11)-(B$18*6%),2)),ROUND((VLOOKUP($A$3,'Indicadores Financeiros'!$B$123:$J$280,8,FALSE)*B$11),2)))</f>
        <v>24.27</v>
      </c>
      <c r="C37" s="167">
        <f>IF(OR(C13=0,C$9="posto/hora extra"),0,IF(OR(C$9="Posto/dia",C$9="Posto/dia líder"),IF(ROUND((VLOOKUP($A$3,'Indicadores Financeiros'!$B$123:$J$280,8,FALSE)*C$11)-(C$18*6%),2)&lt;0,0,ROUND((VLOOKUP($A$3,'Indicadores Financeiros'!$B$123:$J$280,8,FALSE)*C$11)-(C$18*6%),2)),ROUND((VLOOKUP($A$3,'Indicadores Financeiros'!$B$123:$J$280,8,FALSE)*C$11),2)))</f>
        <v>24.27</v>
      </c>
      <c r="D37" s="167">
        <f>IF(OR(D13=0,D$9="posto/hora extra"),0,IF(OR(D$9="Posto/dia",D$9="Posto/dia líder"),IF(ROUND((VLOOKUP($A$3,'Indicadores Financeiros'!$B$123:$J$280,8,FALSE)*D$11)-(D$18*6%),2)&lt;0,0,ROUND((VLOOKUP($A$3,'Indicadores Financeiros'!$B$123:$J$280,8,FALSE)*D$11)-(D$18*6%),2)),ROUND((VLOOKUP($A$3,'Indicadores Financeiros'!$B$123:$J$280,8,FALSE)*D$11),2)))</f>
        <v>80.099999999999994</v>
      </c>
      <c r="E37" s="167">
        <f>IF(OR(E13=0,E$9="posto/hora extra"),0,IF(OR(E$9="Posto/dia",E$9="Posto/dia líder"),IF(ROUND((VLOOKUP($A$3,'Indicadores Financeiros'!$B$123:$J$280,8,FALSE)*E$11)-(E$18*6%),2)&lt;0,0,ROUND((VLOOKUP($A$3,'Indicadores Financeiros'!$B$123:$J$280,8,FALSE)*E$11)-(E$18*6%),2)),ROUND((VLOOKUP($A$3,'Indicadores Financeiros'!$B$123:$J$280,8,FALSE)*E$11),2)))</f>
        <v>80.099999999999994</v>
      </c>
      <c r="F37" s="167">
        <f>IF(OR(F13=0,F$9="posto/hora extra"),0,IF(OR(F$9="Posto/dia",F$9="Posto/dia líder"),IF(ROUND((VLOOKUP($A$3,'Indicadores Financeiros'!$B$123:$J$280,8,FALSE)*F$11)-(F$18*6%),2)&lt;0,0,ROUND((VLOOKUP($A$3,'Indicadores Financeiros'!$B$123:$J$280,8,FALSE)*F$11)-(F$18*6%),2)),ROUND((VLOOKUP($A$3,'Indicadores Financeiros'!$B$123:$J$280,8,FALSE)*F$11),2)))</f>
        <v>80.099999999999994</v>
      </c>
      <c r="G37" s="167">
        <f>IF(OR(G13=0,G$9="posto/hora extra"),0,IF(OR(G$9="Posto/dia",G$9="Posto/dia líder"),IF(ROUND((VLOOKUP($A$3,'Indicadores Financeiros'!$B$123:$J$280,8,FALSE)*G$11)-(G$18*6%),2)&lt;0,0,ROUND((VLOOKUP($A$3,'Indicadores Financeiros'!$B$123:$J$280,8,FALSE)*G$11)-(G$18*6%),2)),ROUND((VLOOKUP($A$3,'Indicadores Financeiros'!$B$123:$J$280,8,FALSE)*G$11),2)))</f>
        <v>24.27</v>
      </c>
      <c r="H37" s="167">
        <f>IF(OR(H13=0,H$9="posto/hora extra"),0,IF(OR(H$9="Posto/dia",H$9="Posto/dia líder"),IF(ROUND((VLOOKUP($A$3,'Indicadores Financeiros'!$B$123:$J$280,8,FALSE)*H$11)-(H$18*6%),2)&lt;0,0,ROUND((VLOOKUP($A$3,'Indicadores Financeiros'!$B$123:$J$280,8,FALSE)*H$11)-(H$18*6%),2)),ROUND((VLOOKUP($A$3,'Indicadores Financeiros'!$B$123:$J$280,8,FALSE)*H$11),2)))</f>
        <v>80.099999999999994</v>
      </c>
      <c r="I37" s="246">
        <f>IF(OR(I13=0,I$9="posto/hora extra"),0,IF(OR(I$9="Posto/dia",I$9="Posto/dia líder"),IF(ROUND((VLOOKUP($A$3,'Indicadores Financeiros'!$B$123:$J$280,8,FALSE)*I$11)-(I$18*6%),2)&lt;0,0,ROUND((VLOOKUP($A$3,'Indicadores Financeiros'!$B$123:$J$280,8,FALSE)*I$11)-(I$18*6%),2)),ROUND((VLOOKUP($A$3,'Indicadores Financeiros'!$B$123:$J$280,8,FALSE)*I$11),2)))</f>
        <v>202.86</v>
      </c>
      <c r="J37" s="246">
        <f>IF(OR(J13=0,J$9="posto/hora extra"),0,IF(OR(J$9="Posto/dia",J$9="Posto/dia líder"),IF(ROUND((VLOOKUP($A$3,'Indicadores Financeiros'!$B$123:$J$280,8,FALSE)*J$11)-(J$18*6%),2)&lt;0,0,ROUND((VLOOKUP($A$3,'Indicadores Financeiros'!$B$123:$J$280,8,FALSE)*J$11)-(J$18*6%),2)),ROUND((VLOOKUP($A$3,'Indicadores Financeiros'!$B$123:$J$280,8,FALSE)*J$11),2)))</f>
        <v>202.86</v>
      </c>
      <c r="K37" s="246">
        <f>IF(OR(K13=0,K$9="posto/hora extra"),0,IF(OR(K$9="Posto/dia",K$9="Posto/dia líder"),IF(ROUND((VLOOKUP($A$3,'Indicadores Financeiros'!$B$123:$J$280,8,FALSE)*K$11)-(K$18*6%),2)&lt;0,0,ROUND((VLOOKUP($A$3,'Indicadores Financeiros'!$B$123:$J$280,8,FALSE)*K$11)-(K$18*6%),2)),ROUND((VLOOKUP($A$3,'Indicadores Financeiros'!$B$123:$J$280,8,FALSE)*K$11),2)))</f>
        <v>202.86</v>
      </c>
      <c r="L37" s="246">
        <f>IF(OR(L13=0,L$9="posto/hora extra"),0,IF(OR(L$9="Posto/dia",L$9="Posto/dia líder"),IF(ROUND((VLOOKUP($A$3,'Indicadores Financeiros'!$B$123:$J$280,8,FALSE)*L$11)-(L$18*6%),2)&lt;0,0,ROUND((VLOOKUP($A$3,'Indicadores Financeiros'!$B$123:$J$280,8,FALSE)*L$11)-(L$18*6%),2)),ROUND((VLOOKUP($A$3,'Indicadores Financeiros'!$B$123:$J$280,8,FALSE)*L$11),2)))</f>
        <v>202.86</v>
      </c>
      <c r="M37" s="246">
        <f>IF(OR(M13=0,M$9="posto/hora extra"),0,IF(OR(M$9="Posto/dia",M$9="Posto/dia líder"),IF(ROUND((VLOOKUP($A$3,'Indicadores Financeiros'!$B$123:$J$280,8,FALSE)*M$11)-(M$18*6%),2)&lt;0,0,ROUND((VLOOKUP($A$3,'Indicadores Financeiros'!$B$123:$J$280,8,FALSE)*M$11)-(M$18*6%),2)),ROUND((VLOOKUP($A$3,'Indicadores Financeiros'!$B$123:$J$280,8,FALSE)*M$11),2)))</f>
        <v>0</v>
      </c>
      <c r="N37" s="246">
        <f>IF(OR(N13=0,N$9="posto/hora extra"),0,IF(OR(N$9="Posto/dia",N$9="Posto/dia líder"),IF(ROUND((VLOOKUP($A$3,'Indicadores Financeiros'!$B$123:$J$280,8,FALSE)*N$11)-(N$18*6%),2)&lt;0,0,ROUND((VLOOKUP($A$3,'Indicadores Financeiros'!$B$123:$J$280,8,FALSE)*N$11)-(N$18*6%),2)),ROUND((VLOOKUP($A$3,'Indicadores Financeiros'!$B$123:$J$280,8,FALSE)*N$11),2)))</f>
        <v>0</v>
      </c>
      <c r="CF37" s="92"/>
    </row>
    <row r="38" spans="1:84">
      <c r="A38" s="169" t="s">
        <v>248</v>
      </c>
      <c r="B38" s="174">
        <f>ROUND(SUM(B31:B37),2)</f>
        <v>713.72</v>
      </c>
      <c r="C38" s="174">
        <f t="shared" ref="C38:N38" si="6">ROUND(SUM(C31:C37),2)</f>
        <v>713.72</v>
      </c>
      <c r="D38" s="174">
        <f t="shared" si="6"/>
        <v>944.92</v>
      </c>
      <c r="E38" s="174">
        <f t="shared" si="6"/>
        <v>944.92</v>
      </c>
      <c r="F38" s="174">
        <f t="shared" si="6"/>
        <v>944.92</v>
      </c>
      <c r="G38" s="174">
        <f t="shared" si="6"/>
        <v>713.72</v>
      </c>
      <c r="H38" s="174">
        <f t="shared" ref="H38" si="7">ROUND(SUM(H31:H37),2)</f>
        <v>944.92</v>
      </c>
      <c r="I38" s="174">
        <f t="shared" si="6"/>
        <v>999.18</v>
      </c>
      <c r="J38" s="174">
        <f t="shared" si="6"/>
        <v>999.18</v>
      </c>
      <c r="K38" s="174">
        <f t="shared" si="6"/>
        <v>999.18</v>
      </c>
      <c r="L38" s="174">
        <f t="shared" si="6"/>
        <v>999.18</v>
      </c>
      <c r="M38" s="174">
        <f t="shared" si="6"/>
        <v>0</v>
      </c>
      <c r="N38" s="174">
        <f t="shared" si="6"/>
        <v>0</v>
      </c>
      <c r="CF38" s="92"/>
    </row>
    <row r="39" spans="1:84">
      <c r="A39" s="96"/>
      <c r="B39" s="97"/>
      <c r="C39" s="97"/>
      <c r="D39" s="98"/>
      <c r="E39" s="97"/>
      <c r="F39" s="97"/>
      <c r="G39" s="97"/>
      <c r="H39" s="98"/>
      <c r="I39" s="97"/>
      <c r="J39" s="97"/>
      <c r="K39" s="97"/>
      <c r="L39" s="97"/>
      <c r="M39" s="97"/>
      <c r="N39" s="97"/>
      <c r="CF39" s="92"/>
    </row>
    <row r="40" spans="1:84">
      <c r="A40" s="172" t="s">
        <v>226</v>
      </c>
      <c r="B40" s="166" t="s">
        <v>110</v>
      </c>
      <c r="C40" s="166" t="s">
        <v>110</v>
      </c>
      <c r="D40" s="166" t="s">
        <v>110</v>
      </c>
      <c r="E40" s="166" t="s">
        <v>110</v>
      </c>
      <c r="F40" s="166" t="s">
        <v>110</v>
      </c>
      <c r="G40" s="166" t="s">
        <v>110</v>
      </c>
      <c r="H40" s="166" t="s">
        <v>110</v>
      </c>
      <c r="I40" s="166" t="s">
        <v>110</v>
      </c>
      <c r="J40" s="166" t="s">
        <v>110</v>
      </c>
      <c r="K40" s="166" t="s">
        <v>110</v>
      </c>
      <c r="L40" s="166" t="s">
        <v>110</v>
      </c>
      <c r="M40" s="166" t="s">
        <v>110</v>
      </c>
      <c r="N40" s="166" t="s">
        <v>110</v>
      </c>
      <c r="CF40" s="92"/>
    </row>
    <row r="41" spans="1:84">
      <c r="A41" s="175" t="s">
        <v>253</v>
      </c>
      <c r="B41" s="167">
        <f>IF(OR(B$13=0,B$9="posto/hora extra",'Indicadores Financeiros'!$J$91=0),0,IF(OR(B$9="Posto/dia",B$9="Posto/dia líder"),VLOOKUP(B$7,'Indicadores Financeiros'!$A$107:$J$119,8,FALSE),ROUND('Indicadores Financeiros'!$J$87*B11,2)))</f>
        <v>84.31</v>
      </c>
      <c r="C41" s="167">
        <f>IF(OR(C$13=0,C$9="posto/hora extra",'Indicadores Financeiros'!$J$91=0),0,IF(OR(C$9="Posto/dia",C$9="Posto/dia líder"),VLOOKUP(C$7,'Indicadores Financeiros'!$A$107:$J$119,8,FALSE),ROUND('Indicadores Financeiros'!$J$87*C11,2)))</f>
        <v>84.31</v>
      </c>
      <c r="D41" s="167">
        <f>IF(OR(D$13=0,D$9="posto/hora extra",'Indicadores Financeiros'!$J$91=0),0,IF(OR(D$9="Posto/dia",D$9="Posto/dia líder"),VLOOKUP(D$7,'Indicadores Financeiros'!$A$107:$J$119,8,FALSE),ROUND('Indicadores Financeiros'!$J$87*D11,2)))</f>
        <v>70.260000000000005</v>
      </c>
      <c r="E41" s="167">
        <f>IF(OR(E$13=0,E$9="posto/hora extra",'Indicadores Financeiros'!$J$91=0),0,IF(OR(E$9="Posto/dia",E$9="Posto/dia líder"),VLOOKUP(E$7,'Indicadores Financeiros'!$A$107:$J$119,8,FALSE),ROUND('Indicadores Financeiros'!$J$87*E11,2)))</f>
        <v>70</v>
      </c>
      <c r="F41" s="167">
        <f>IF(OR(F$13=0,F$9="posto/hora extra",'Indicadores Financeiros'!$J$91=0),0,IF(OR(F$9="Posto/dia",F$9="Posto/dia líder"),VLOOKUP(F$7,'Indicadores Financeiros'!$A$107:$J$119,8,FALSE),ROUND('Indicadores Financeiros'!$J$87*F11,2)))</f>
        <v>69.569999999999993</v>
      </c>
      <c r="G41" s="167">
        <f>IF(OR(G$13=0,G$9="posto/hora extra",'Indicadores Financeiros'!$J$91=0),0,IF(OR(G$9="Posto/dia",G$9="Posto/dia líder"),VLOOKUP(G$7,'Indicadores Financeiros'!$A$107:$J$119,8,FALSE),ROUND('Indicadores Financeiros'!$J$87*G11,2)))</f>
        <v>84.31</v>
      </c>
      <c r="H41" s="167">
        <f>IF(OR(H$13=0,H$9="posto/hora extra",'Indicadores Financeiros'!$J$91=0),0,IF(OR(H$9="Posto/dia",H$9="Posto/dia líder"),VLOOKUP(H$7,'Indicadores Financeiros'!$A$107:$J$119,8,FALSE),ROUND('Indicadores Financeiros'!$J$87*H11,2)))</f>
        <v>70.260000000000005</v>
      </c>
      <c r="I41" s="167">
        <f>IF(OR(I$13=0,I$9="posto/hora extra",'Indicadores Financeiros'!$J$91=0),0,IF(OR(I$9="Posto/dia",I$9="Posto/dia líder"),VLOOKUP(I$7,'Indicadores Financeiros'!$A$107:$J$119,8,FALSE),ROUND('Indicadores Financeiros'!$J$87*I11,2)))</f>
        <v>133.77000000000001</v>
      </c>
      <c r="J41" s="167">
        <f>IF(OR(J$13=0,J$9="posto/hora extra",'Indicadores Financeiros'!$J$91=0),0,IF(OR(J$9="Posto/dia",J$9="Posto/dia líder"),VLOOKUP(J$7,'Indicadores Financeiros'!$A$107:$J$119,8,FALSE),ROUND('Indicadores Financeiros'!$J$87*J11,2)))</f>
        <v>133.77000000000001</v>
      </c>
      <c r="K41" s="167">
        <f>IF(OR(K$13=0,K$9="posto/hora extra",'Indicadores Financeiros'!$J$91=0),0,IF(OR(K$9="Posto/dia",K$9="Posto/dia líder"),VLOOKUP(K$7,'Indicadores Financeiros'!$A$107:$J$119,8,FALSE),ROUND('Indicadores Financeiros'!$J$87*K11,2)))</f>
        <v>133.77000000000001</v>
      </c>
      <c r="L41" s="167">
        <f>IF(OR(L$13=0,L$9="posto/hora extra",'Indicadores Financeiros'!$J$91=0),0,IF(OR(L$9="Posto/dia",L$9="Posto/dia líder"),VLOOKUP(L$7,'Indicadores Financeiros'!$A$107:$J$119,8,FALSE),ROUND('Indicadores Financeiros'!$J$87*L11,2)))</f>
        <v>133.77000000000001</v>
      </c>
      <c r="M41" s="167">
        <f>IF(OR(M$13=0,M$9="posto/hora extra",'Indicadores Financeiros'!$J$91=0),0,IF(OR(M$9="Posto/dia",M$9="Posto/dia líder"),VLOOKUP(M$7,'Indicadores Financeiros'!$A$107:$J$119,8,FALSE),ROUND('Indicadores Financeiros'!$J$87*M11,2)))</f>
        <v>0</v>
      </c>
      <c r="N41" s="167">
        <f>IF(OR(N$13=0,N$9="posto/hora extra",'Indicadores Financeiros'!$J$91=0),0,IF(OR(N$9="Posto/dia",N$9="Posto/dia líder"),VLOOKUP(N$7,'Indicadores Financeiros'!$A$107:$J$119,8,FALSE),ROUND('Indicadores Financeiros'!$J$87*N11,2)))</f>
        <v>0</v>
      </c>
      <c r="CF41" s="92"/>
    </row>
    <row r="42" spans="1:84">
      <c r="A42" s="162" t="s">
        <v>254</v>
      </c>
      <c r="B42" s="167">
        <f>IF(B13=0,0,VLOOKUP(B$7,'Indicadores Financeiros'!$A$107:$J$119,9,FALSE))</f>
        <v>40.059999999999995</v>
      </c>
      <c r="C42" s="167">
        <f>IF(C13=0,0,VLOOKUP(C$7,'Indicadores Financeiros'!$A$107:$J$119,9,FALSE))</f>
        <v>39.589999999999996</v>
      </c>
      <c r="D42" s="167">
        <f>IF(D13=0,0,VLOOKUP(D$7,'Indicadores Financeiros'!$A$107:$J$119,9,FALSE))</f>
        <v>35.389999999999993</v>
      </c>
      <c r="E42" s="167">
        <f>IF(E13=0,0,VLOOKUP(E$7,'Indicadores Financeiros'!$A$107:$J$119,9,FALSE))</f>
        <v>57.285182481751818</v>
      </c>
      <c r="F42" s="167">
        <f>IF(F13=0,0,VLOOKUP(F$7,'Indicadores Financeiros'!$A$107:$J$119,9,FALSE))</f>
        <v>28.469999999999992</v>
      </c>
      <c r="G42" s="167">
        <f>IF(G13=0,0,VLOOKUP(G$7,'Indicadores Financeiros'!$A$107:$J$119,9,FALSE))</f>
        <v>39.589999999999996</v>
      </c>
      <c r="H42" s="167">
        <f>IF(H13=0,0,VLOOKUP(H$7,'Indicadores Financeiros'!$A$107:$J$119,9,FALSE))</f>
        <v>78.069999999999993</v>
      </c>
      <c r="I42" s="167">
        <f>IF(I13=0,0,VLOOKUP(I$7,'Indicadores Financeiros'!$A$107:$J$119,9,FALSE))</f>
        <v>28.469999999999992</v>
      </c>
      <c r="J42" s="167">
        <f>IF(J13=0,0,VLOOKUP(J$7,'Indicadores Financeiros'!$A$107:$J$119,9,FALSE))</f>
        <v>28.469999999999992</v>
      </c>
      <c r="K42" s="167">
        <f>IF(K13=0,0,VLOOKUP(K$7,'Indicadores Financeiros'!$A$107:$J$119,9,FALSE))</f>
        <v>35.389999999999993</v>
      </c>
      <c r="L42" s="167">
        <f>IF(L13=0,0,VLOOKUP(L$7,'Indicadores Financeiros'!$A$107:$J$119,9,FALSE))</f>
        <v>78.069999999999993</v>
      </c>
      <c r="M42" s="167">
        <f>IF(M13=0,0,VLOOKUP(M$7,'Indicadores Financeiros'!$A$107:$J$119,9,FALSE))</f>
        <v>0</v>
      </c>
      <c r="N42" s="167">
        <f>IF(N13=0,0,VLOOKUP(N$7,'Indicadores Financeiros'!$A$107:$J$119,9,FALSE))</f>
        <v>0</v>
      </c>
      <c r="CF42" s="92"/>
    </row>
    <row r="43" spans="1:84">
      <c r="A43" s="162" t="s">
        <v>255</v>
      </c>
      <c r="B43" s="167">
        <f>IF(B13=0,0,VLOOKUP(B$7,'Indicadores Financeiros'!$A$107:$J$119,10,FALSE))</f>
        <v>78.069999999999993</v>
      </c>
      <c r="C43" s="167">
        <f>IF(C13=0,0,VLOOKUP(C$7,'Indicadores Financeiros'!$A$107:$J$119,10,FALSE))</f>
        <v>78.069999999999993</v>
      </c>
      <c r="D43" s="167">
        <f>IF(D13=0,0,VLOOKUP(D$7,'Indicadores Financeiros'!$A$107:$J$119,10,FALSE))</f>
        <v>78.06</v>
      </c>
      <c r="E43" s="167">
        <f>IF(E13=0,0,VLOOKUP(E$7,'Indicadores Financeiros'!$A$107:$J$119,10,FALSE))</f>
        <v>78.069999999999993</v>
      </c>
      <c r="F43" s="167">
        <f>IF(F13=0,0,VLOOKUP(F$7,'Indicadores Financeiros'!$A$107:$J$119,10,FALSE))</f>
        <v>78.06</v>
      </c>
      <c r="G43" s="167">
        <f>IF(G13=0,0,VLOOKUP(G$7,'Indicadores Financeiros'!$A$107:$J$119,10,FALSE))</f>
        <v>78.069999999999993</v>
      </c>
      <c r="H43" s="167">
        <f>IF(H13=0,0,VLOOKUP(H$7,'Indicadores Financeiros'!$A$107:$J$119,10,FALSE))</f>
        <v>78.06</v>
      </c>
      <c r="I43" s="167">
        <f>IF(I13=0,0,VLOOKUP(I$7,'Indicadores Financeiros'!$A$107:$J$119,10,FALSE))</f>
        <v>78.06</v>
      </c>
      <c r="J43" s="167">
        <f>IF(J13=0,0,VLOOKUP(J$7,'Indicadores Financeiros'!$A$107:$J$119,10,FALSE))</f>
        <v>78.06</v>
      </c>
      <c r="K43" s="167">
        <f>IF(K13=0,0,VLOOKUP(K$7,'Indicadores Financeiros'!$A$107:$J$119,10,FALSE))</f>
        <v>78.06</v>
      </c>
      <c r="L43" s="167">
        <f>IF(L13=0,0,VLOOKUP(L$7,'Indicadores Financeiros'!$A$107:$J$119,10,FALSE))</f>
        <v>78.06</v>
      </c>
      <c r="M43" s="167">
        <f>IF(M13=0,0,VLOOKUP(M$7,'Indicadores Financeiros'!$A$107:$J$119,10,FALSE))</f>
        <v>0</v>
      </c>
      <c r="N43" s="167">
        <f>IF(N13=0,0,VLOOKUP(N$7,'Indicadores Financeiros'!$A$107:$J$119,10,FALSE))</f>
        <v>0</v>
      </c>
      <c r="CF43" s="92"/>
    </row>
    <row r="44" spans="1:84">
      <c r="A44" s="169" t="s">
        <v>248</v>
      </c>
      <c r="B44" s="174">
        <f>ROUND(SUM(B41:B43),2)</f>
        <v>202.44</v>
      </c>
      <c r="C44" s="174">
        <f t="shared" ref="C44:N44" si="8">ROUND(SUM(C41:C43),2)</f>
        <v>201.97</v>
      </c>
      <c r="D44" s="174">
        <f t="shared" si="8"/>
        <v>183.71</v>
      </c>
      <c r="E44" s="174">
        <f t="shared" si="8"/>
        <v>205.36</v>
      </c>
      <c r="F44" s="174">
        <f t="shared" si="8"/>
        <v>176.1</v>
      </c>
      <c r="G44" s="174">
        <f t="shared" si="8"/>
        <v>201.97</v>
      </c>
      <c r="H44" s="174">
        <f t="shared" ref="H44" si="9">ROUND(SUM(H41:H43),2)</f>
        <v>226.39</v>
      </c>
      <c r="I44" s="174">
        <f t="shared" si="8"/>
        <v>240.3</v>
      </c>
      <c r="J44" s="174">
        <f t="shared" si="8"/>
        <v>240.3</v>
      </c>
      <c r="K44" s="174">
        <f t="shared" si="8"/>
        <v>247.22</v>
      </c>
      <c r="L44" s="174">
        <f t="shared" si="8"/>
        <v>289.89999999999998</v>
      </c>
      <c r="M44" s="174">
        <f t="shared" si="8"/>
        <v>0</v>
      </c>
      <c r="N44" s="174">
        <f t="shared" si="8"/>
        <v>0</v>
      </c>
      <c r="CF44" s="92"/>
    </row>
    <row r="45" spans="1:84">
      <c r="A45" s="96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CF45" s="92"/>
    </row>
    <row r="46" spans="1:84">
      <c r="A46" s="158" t="s">
        <v>256</v>
      </c>
      <c r="B46" s="176">
        <f t="shared" ref="B46:M46" si="10">ROUND(IFERROR(B38+B27+B25+B44,"-"),2)</f>
        <v>6854.06</v>
      </c>
      <c r="C46" s="176">
        <f t="shared" si="10"/>
        <v>5516.71</v>
      </c>
      <c r="D46" s="176">
        <f t="shared" si="10"/>
        <v>5729.65</v>
      </c>
      <c r="E46" s="176">
        <f t="shared" si="10"/>
        <v>5751.3</v>
      </c>
      <c r="F46" s="176">
        <f t="shared" si="10"/>
        <v>5722.04</v>
      </c>
      <c r="G46" s="176">
        <f t="shared" si="10"/>
        <v>5941.41</v>
      </c>
      <c r="H46" s="176">
        <f t="shared" ref="H46" si="11">ROUND(IFERROR(H38+H27+H25+H44,"-"),2)</f>
        <v>5772.33</v>
      </c>
      <c r="I46" s="176">
        <f t="shared" si="10"/>
        <v>5840.5</v>
      </c>
      <c r="J46" s="176">
        <f t="shared" si="10"/>
        <v>6668.1</v>
      </c>
      <c r="K46" s="176">
        <f t="shared" si="10"/>
        <v>5847.42</v>
      </c>
      <c r="L46" s="176">
        <f t="shared" si="10"/>
        <v>6717.7</v>
      </c>
      <c r="M46" s="176">
        <f t="shared" si="10"/>
        <v>7361.62</v>
      </c>
      <c r="N46" s="176">
        <f>ROUND(IFERROR(N38+N27+N25+N44,"-"),2)</f>
        <v>8685.7900000000009</v>
      </c>
      <c r="CF46" s="92"/>
    </row>
    <row r="47" spans="1:84">
      <c r="A47" s="96"/>
      <c r="B47" s="97"/>
      <c r="C47" s="97"/>
      <c r="D47" s="98"/>
      <c r="E47" s="97"/>
      <c r="F47" s="97"/>
      <c r="G47" s="97"/>
      <c r="H47" s="98"/>
      <c r="I47" s="97"/>
      <c r="J47" s="97"/>
      <c r="K47" s="97"/>
      <c r="L47" s="97"/>
      <c r="M47" s="97"/>
      <c r="N47" s="97"/>
      <c r="CF47" s="92"/>
    </row>
    <row r="48" spans="1:84">
      <c r="A48" s="169" t="s">
        <v>257</v>
      </c>
      <c r="B48" s="177">
        <f>IF(B13=0,0,ROUND(VLOOKUP(B$7,'Indicadores Financeiros'!$A$107:$J$119,5,FALSE)*B$46,2))</f>
        <v>0</v>
      </c>
      <c r="C48" s="177">
        <f>IF(C13=0,0,ROUND(VLOOKUP(C$7,'Indicadores Financeiros'!$A$107:$J$119,5,FALSE)*C$46,2))</f>
        <v>459.72</v>
      </c>
      <c r="D48" s="177">
        <f>IF(D13=0,0,ROUND(VLOOKUP(D$7,'Indicadores Financeiros'!$A$107:$J$119,5,FALSE)*D$46,2))</f>
        <v>783.18</v>
      </c>
      <c r="E48" s="177">
        <f>IF(E13=0,0,ROUND(VLOOKUP(E$7,'Indicadores Financeiros'!$A$107:$J$119,5,FALSE)*E$46,2))</f>
        <v>655.12</v>
      </c>
      <c r="F48" s="177">
        <f>IF(F13=0,0,ROUND(VLOOKUP(F$7,'Indicadores Financeiros'!$A$107:$J$119,5,FALSE)*F$46,2))</f>
        <v>782.14</v>
      </c>
      <c r="G48" s="177">
        <f>IF(G13=0,0,ROUND(VLOOKUP(G$7,'Indicadores Financeiros'!$A$107:$J$119,5,FALSE)*G$46,2))</f>
        <v>495.12</v>
      </c>
      <c r="H48" s="177">
        <f>IF(H13=0,0,ROUND(VLOOKUP(H$7,'Indicadores Financeiros'!$A$107:$J$119,5,FALSE)*H$46,2))</f>
        <v>789.01</v>
      </c>
      <c r="I48" s="177">
        <f>IF(I13=0,0,ROUND(VLOOKUP(I$7,'Indicadores Financeiros'!$A$107:$J$119,5,FALSE)*I$46,2))</f>
        <v>0</v>
      </c>
      <c r="J48" s="177">
        <f>IF(J13=0,0,ROUND(VLOOKUP(J$7,'Indicadores Financeiros'!$A$107:$J$119,5,FALSE)*J$46,2))</f>
        <v>0</v>
      </c>
      <c r="K48" s="177">
        <f>IF(K13=0,0,ROUND(VLOOKUP(K$7,'Indicadores Financeiros'!$A$107:$J$119,5,FALSE)*K$46,2))</f>
        <v>0</v>
      </c>
      <c r="L48" s="177">
        <f>IF(L13=0,0,ROUND(VLOOKUP(L$7,'Indicadores Financeiros'!$A$107:$J$119,5,FALSE)*L$46,2))</f>
        <v>0</v>
      </c>
      <c r="M48" s="177">
        <f>IF(M13=0,0,ROUND(VLOOKUP(M$7,'Indicadores Financeiros'!$A$107:$J$119,5,FALSE)*M$46,2))</f>
        <v>0</v>
      </c>
      <c r="N48" s="177">
        <f>IF(N13=0,0,ROUND(VLOOKUP(N$7,'Indicadores Financeiros'!$A$107:$J$119,5,FALSE)*N$46,2))</f>
        <v>0</v>
      </c>
      <c r="CF48" s="92"/>
    </row>
    <row r="49" spans="1:84">
      <c r="A49" s="96"/>
      <c r="B49" s="97"/>
      <c r="C49" s="97"/>
      <c r="D49" s="98"/>
      <c r="E49" s="97"/>
      <c r="F49" s="97"/>
      <c r="G49" s="97"/>
      <c r="H49" s="98"/>
      <c r="I49" s="97"/>
      <c r="J49" s="97"/>
      <c r="K49" s="97"/>
      <c r="L49" s="97"/>
      <c r="M49" s="97"/>
      <c r="N49" s="97"/>
      <c r="CF49" s="92"/>
    </row>
    <row r="50" spans="1:84">
      <c r="A50" s="169" t="s">
        <v>258</v>
      </c>
      <c r="B50" s="177">
        <f t="shared" ref="B50:M50" si="12">ROUND(IFERROR(B46+B48,"-"),2)</f>
        <v>6854.06</v>
      </c>
      <c r="C50" s="177">
        <f t="shared" si="12"/>
        <v>5976.43</v>
      </c>
      <c r="D50" s="177">
        <f t="shared" si="12"/>
        <v>6512.83</v>
      </c>
      <c r="E50" s="177">
        <f t="shared" si="12"/>
        <v>6406.42</v>
      </c>
      <c r="F50" s="177">
        <f t="shared" si="12"/>
        <v>6504.18</v>
      </c>
      <c r="G50" s="177">
        <f t="shared" si="12"/>
        <v>6436.53</v>
      </c>
      <c r="H50" s="177">
        <f t="shared" ref="H50" si="13">ROUND(IFERROR(H46+H48,"-"),2)</f>
        <v>6561.34</v>
      </c>
      <c r="I50" s="177">
        <f t="shared" si="12"/>
        <v>5840.5</v>
      </c>
      <c r="J50" s="177">
        <f t="shared" si="12"/>
        <v>6668.1</v>
      </c>
      <c r="K50" s="177">
        <f t="shared" si="12"/>
        <v>5847.42</v>
      </c>
      <c r="L50" s="177">
        <f t="shared" si="12"/>
        <v>6717.7</v>
      </c>
      <c r="M50" s="177">
        <f t="shared" si="12"/>
        <v>7361.62</v>
      </c>
      <c r="N50" s="177">
        <f>ROUND(IFERROR(N46+N48,"-"),2)</f>
        <v>8685.7900000000009</v>
      </c>
      <c r="CF50" s="92"/>
    </row>
    <row r="51" spans="1:84">
      <c r="A51" s="96"/>
      <c r="B51" s="97"/>
      <c r="C51" s="97"/>
      <c r="D51" s="98"/>
      <c r="E51" s="97"/>
      <c r="F51" s="97"/>
      <c r="G51" s="97"/>
      <c r="H51" s="98"/>
      <c r="I51" s="97"/>
      <c r="J51" s="97"/>
      <c r="K51" s="97"/>
      <c r="L51" s="97"/>
      <c r="M51" s="97"/>
      <c r="N51" s="97"/>
      <c r="CF51" s="92"/>
    </row>
    <row r="52" spans="1:84">
      <c r="A52" s="169" t="s">
        <v>259</v>
      </c>
      <c r="B52" s="177">
        <f>ROUND(IFERROR(B50*B10,0),2)</f>
        <v>13708.12</v>
      </c>
      <c r="C52" s="177">
        <f t="shared" ref="C52:N52" si="14">ROUND(IFERROR(C50*C10,0),2)</f>
        <v>11952.86</v>
      </c>
      <c r="D52" s="177">
        <f t="shared" si="14"/>
        <v>6512.83</v>
      </c>
      <c r="E52" s="177">
        <f t="shared" si="14"/>
        <v>8776.7999999999993</v>
      </c>
      <c r="F52" s="177">
        <f t="shared" si="14"/>
        <v>6504.18</v>
      </c>
      <c r="G52" s="177">
        <f t="shared" si="14"/>
        <v>12873.06</v>
      </c>
      <c r="H52" s="177">
        <f t="shared" ref="H52" si="15">ROUND(IFERROR(H50*H10,0),2)</f>
        <v>6561.34</v>
      </c>
      <c r="I52" s="177">
        <f t="shared" si="14"/>
        <v>5840.5</v>
      </c>
      <c r="J52" s="177">
        <f t="shared" si="14"/>
        <v>6668.1</v>
      </c>
      <c r="K52" s="177">
        <f t="shared" si="14"/>
        <v>5847.42</v>
      </c>
      <c r="L52" s="177">
        <f t="shared" si="14"/>
        <v>6717.7</v>
      </c>
      <c r="M52" s="177">
        <f t="shared" si="14"/>
        <v>7361.62</v>
      </c>
      <c r="N52" s="177">
        <f t="shared" si="14"/>
        <v>8685.7900000000009</v>
      </c>
      <c r="CF52" s="92"/>
    </row>
    <row r="53" spans="1:84">
      <c r="A53" s="96"/>
      <c r="B53" s="97"/>
      <c r="C53" s="97"/>
      <c r="D53" s="98"/>
      <c r="E53" s="97"/>
      <c r="F53" s="97"/>
      <c r="G53" s="97"/>
      <c r="H53" s="98"/>
      <c r="I53" s="97"/>
      <c r="J53" s="97"/>
      <c r="K53" s="97"/>
      <c r="L53" s="97"/>
      <c r="M53" s="97"/>
      <c r="N53" s="97"/>
      <c r="CF53" s="92"/>
    </row>
    <row r="54" spans="1:84">
      <c r="A54" s="169" t="s">
        <v>260</v>
      </c>
      <c r="B54" s="177">
        <f t="shared" ref="B54:G54" si="16">IFERROR(IF(OR(B$9="Posto/dia",B$9="posto/dia líder"),ROUND(B$52/(B$11*IF(B$10=1.37,1,B$10)),2),0),"-")</f>
        <v>450.33</v>
      </c>
      <c r="C54" s="177">
        <f t="shared" si="16"/>
        <v>392.67</v>
      </c>
      <c r="D54" s="177">
        <f t="shared" si="16"/>
        <v>310.13</v>
      </c>
      <c r="E54" s="177">
        <f t="shared" si="16"/>
        <v>417.94</v>
      </c>
      <c r="F54" s="177">
        <f t="shared" si="16"/>
        <v>309.72000000000003</v>
      </c>
      <c r="G54" s="177">
        <f t="shared" si="16"/>
        <v>422.9</v>
      </c>
      <c r="H54" s="177">
        <f>IFERROR(IF(OR(H$9="Posto/dia",H$9="posto/dia líder"),ROUND(H$52/(H$11*IF(H$10=1.37,1,H$10)),2),0),"-")</f>
        <v>312.44</v>
      </c>
      <c r="I54" s="177">
        <f t="shared" ref="I54:N54" si="17">IFERROR(IF(OR(I$9="Posto/dia",I$9="posto/dia líder"),ROUND(I$52/(I$11*IF(I$10=1.37,1,I$10)),2),0),"-")</f>
        <v>0</v>
      </c>
      <c r="J54" s="177">
        <f t="shared" si="17"/>
        <v>0</v>
      </c>
      <c r="K54" s="177">
        <f t="shared" si="17"/>
        <v>0</v>
      </c>
      <c r="L54" s="177">
        <f t="shared" si="17"/>
        <v>0</v>
      </c>
      <c r="M54" s="177">
        <f t="shared" si="17"/>
        <v>0</v>
      </c>
      <c r="N54" s="177">
        <f t="shared" si="17"/>
        <v>0</v>
      </c>
      <c r="CF54" s="92"/>
    </row>
    <row r="55" spans="1:84">
      <c r="A55" s="96"/>
      <c r="B55" s="97"/>
      <c r="C55" s="97"/>
      <c r="D55" s="98"/>
      <c r="E55" s="97"/>
      <c r="F55" s="97"/>
      <c r="G55" s="97"/>
      <c r="H55" s="98"/>
      <c r="I55" s="97"/>
      <c r="J55" s="97"/>
      <c r="K55" s="97"/>
      <c r="L55" s="97"/>
      <c r="M55" s="97"/>
      <c r="N55" s="97"/>
      <c r="CF55" s="92"/>
    </row>
    <row r="56" spans="1:84">
      <c r="A56" s="169" t="s">
        <v>261</v>
      </c>
      <c r="B56" s="177">
        <f>IF(B$9="Posto/hora",ROUND(B52/220,2),0)</f>
        <v>0</v>
      </c>
      <c r="C56" s="177">
        <f t="shared" ref="C56:G56" si="18">IF(C$9="Posto/hora",ROUND(C52/220,2),0)</f>
        <v>0</v>
      </c>
      <c r="D56" s="177">
        <f t="shared" ref="D56" si="19">IF(D$9="Posto/hora",ROUND(D52/220,2),0)</f>
        <v>0</v>
      </c>
      <c r="E56" s="177">
        <f t="shared" si="18"/>
        <v>0</v>
      </c>
      <c r="F56" s="177">
        <f t="shared" si="18"/>
        <v>0</v>
      </c>
      <c r="G56" s="177">
        <f t="shared" si="18"/>
        <v>0</v>
      </c>
      <c r="H56" s="177">
        <f t="shared" ref="H56" si="20">IF(H$9="Posto/hora",ROUND(H52/220,2),0)</f>
        <v>0</v>
      </c>
      <c r="I56" s="177">
        <f>IF(OR(I$9="Posto/hora",I$9="Posto/hora extra"),ROUND(I52/220,2),0)</f>
        <v>26.55</v>
      </c>
      <c r="J56" s="177">
        <f t="shared" ref="J56:N56" si="21">IF(OR(J$9="Posto/hora",J$9="Posto/hora extra"),ROUND(J52/220,2),0)</f>
        <v>30.31</v>
      </c>
      <c r="K56" s="177">
        <f t="shared" si="21"/>
        <v>26.58</v>
      </c>
      <c r="L56" s="177">
        <f t="shared" si="21"/>
        <v>30.54</v>
      </c>
      <c r="M56" s="177">
        <f t="shared" si="21"/>
        <v>33.46</v>
      </c>
      <c r="N56" s="177">
        <f t="shared" si="21"/>
        <v>39.479999999999997</v>
      </c>
      <c r="CF56" s="92"/>
    </row>
    <row r="57" spans="1:84">
      <c r="A57" s="96"/>
      <c r="B57" s="97"/>
      <c r="C57" s="97"/>
      <c r="D57" s="98"/>
      <c r="E57" s="97"/>
      <c r="F57" s="97"/>
      <c r="G57" s="97"/>
      <c r="H57" s="98"/>
      <c r="I57" s="97"/>
      <c r="J57" s="97"/>
      <c r="K57" s="97"/>
      <c r="L57" s="97"/>
      <c r="M57" s="97"/>
      <c r="N57" s="97"/>
      <c r="CF57" s="92"/>
    </row>
    <row r="58" spans="1:84">
      <c r="A58" s="169" t="s">
        <v>262</v>
      </c>
      <c r="B58" s="178">
        <f>IF(B13=0,0,VLOOKUP($A$3,'Indicadores Financeiros'!$B$123:$J$280,7,FALSE))</f>
        <v>0.2114</v>
      </c>
      <c r="C58" s="178">
        <f>IF(C13=0,0,VLOOKUP($A$3,'Indicadores Financeiros'!$B$123:$J$280,7,FALSE))</f>
        <v>0.2114</v>
      </c>
      <c r="D58" s="178">
        <f>IF(D13=0,0,VLOOKUP($A$3,'Indicadores Financeiros'!$B$123:$J$280,7,FALSE))</f>
        <v>0.2114</v>
      </c>
      <c r="E58" s="178">
        <f>IF(E13=0,0,VLOOKUP($A$3,'Indicadores Financeiros'!$B$123:$J$280,7,FALSE))</f>
        <v>0.2114</v>
      </c>
      <c r="F58" s="178">
        <f>IF(F13=0,0,VLOOKUP($A$3,'Indicadores Financeiros'!$B$123:$J$280,7,FALSE))</f>
        <v>0.2114</v>
      </c>
      <c r="G58" s="178">
        <f>IF(G13=0,0,VLOOKUP($A$3,'Indicadores Financeiros'!$B$123:$J$280,7,FALSE))</f>
        <v>0.2114</v>
      </c>
      <c r="H58" s="178">
        <f>IF(H13=0,0,VLOOKUP($A$3,'Indicadores Financeiros'!$B$123:$J$280,7,FALSE))</f>
        <v>0.2114</v>
      </c>
      <c r="I58" s="178">
        <f>IF(I13=0,0,VLOOKUP($A$3,'Indicadores Financeiros'!$B$123:$J$280,7,FALSE))</f>
        <v>0.2114</v>
      </c>
      <c r="J58" s="178">
        <f>IF(J13=0,0,VLOOKUP($A$3,'Indicadores Financeiros'!$B$123:$J$280,7,FALSE))</f>
        <v>0.2114</v>
      </c>
      <c r="K58" s="178">
        <f>IF(K13=0,0,VLOOKUP($A$3,'Indicadores Financeiros'!$B$123:$J$280,7,FALSE))</f>
        <v>0.2114</v>
      </c>
      <c r="L58" s="178">
        <f>IF(L13=0,0,VLOOKUP($A$3,'Indicadores Financeiros'!$B$123:$J$280,7,FALSE))</f>
        <v>0.2114</v>
      </c>
      <c r="M58" s="178">
        <f>IF(M13=0,0,VLOOKUP($A$3,'Indicadores Financeiros'!$B$123:$J$280,7,FALSE))</f>
        <v>0.2114</v>
      </c>
      <c r="N58" s="178">
        <f>IF(N13=0,0,VLOOKUP($A$3,'Indicadores Financeiros'!$B$123:$J$280,7,FALSE))</f>
        <v>0.2114</v>
      </c>
      <c r="CF58" s="92"/>
    </row>
    <row r="59" spans="1:84">
      <c r="A59" s="96"/>
      <c r="B59" s="97"/>
      <c r="C59" s="97"/>
      <c r="D59" s="98"/>
      <c r="E59" s="97"/>
      <c r="F59" s="97"/>
      <c r="G59" s="97"/>
      <c r="H59" s="98"/>
      <c r="I59" s="97"/>
      <c r="J59" s="97"/>
      <c r="K59" s="97"/>
      <c r="L59" s="97"/>
      <c r="M59" s="97"/>
      <c r="N59" s="97"/>
      <c r="CF59" s="92"/>
    </row>
    <row r="60" spans="1:84">
      <c r="A60" s="179" t="s">
        <v>263</v>
      </c>
      <c r="B60" s="180">
        <f t="shared" ref="B60:F60" si="22">IF(OR(B9="Posto/Dia",B9="Posto/Dia Líder"),ROUND(B54*(1+B58),2),0)</f>
        <v>545.53</v>
      </c>
      <c r="C60" s="180">
        <f t="shared" si="22"/>
        <v>475.68</v>
      </c>
      <c r="D60" s="180">
        <f t="shared" si="22"/>
        <v>375.69</v>
      </c>
      <c r="E60" s="180">
        <f t="shared" si="22"/>
        <v>506.29</v>
      </c>
      <c r="F60" s="180">
        <f t="shared" si="22"/>
        <v>375.19</v>
      </c>
      <c r="G60" s="180">
        <f>IF(OR(G9="Posto/Dia",G9="Posto/Dia Líder"),ROUND(G54*(1+G58),2),0)</f>
        <v>512.29999999999995</v>
      </c>
      <c r="H60" s="180">
        <f>IF(OR(H9="Posto/Dia",H9="Posto/Dia Líder"),ROUND(H54*(1+H58),2),0)</f>
        <v>378.49</v>
      </c>
      <c r="I60" s="180">
        <f t="shared" ref="I60:N60" si="23">IF(OR(I9="Posto/Dia",I9="Posto/Dia Líder"),ROUND(I54*(1+I58),2),0)</f>
        <v>0</v>
      </c>
      <c r="J60" s="180">
        <f t="shared" si="23"/>
        <v>0</v>
      </c>
      <c r="K60" s="180">
        <f t="shared" si="23"/>
        <v>0</v>
      </c>
      <c r="L60" s="180">
        <f t="shared" si="23"/>
        <v>0</v>
      </c>
      <c r="M60" s="180">
        <f t="shared" si="23"/>
        <v>0</v>
      </c>
      <c r="N60" s="180">
        <f t="shared" si="23"/>
        <v>0</v>
      </c>
      <c r="CF60" s="92"/>
    </row>
    <row r="61" spans="1:84">
      <c r="A61" s="96"/>
      <c r="B61" s="97"/>
      <c r="C61" s="97"/>
      <c r="D61" s="98"/>
      <c r="E61" s="97"/>
      <c r="F61" s="97"/>
      <c r="G61" s="97"/>
      <c r="H61" s="98"/>
      <c r="I61" s="97"/>
      <c r="J61" s="97"/>
      <c r="K61" s="97"/>
      <c r="L61" s="97"/>
      <c r="M61" s="97"/>
      <c r="N61" s="97"/>
      <c r="CF61" s="92"/>
    </row>
    <row r="62" spans="1:84">
      <c r="A62" s="169" t="s">
        <v>264</v>
      </c>
      <c r="B62" s="177">
        <f t="shared" ref="B62:H62" si="24">IF(OR(B$9="Posto/Hora",B9="Posto/Hora extra"),ROUND(B56*(1+B58),2),0)</f>
        <v>0</v>
      </c>
      <c r="C62" s="177">
        <f t="shared" si="24"/>
        <v>0</v>
      </c>
      <c r="D62" s="177">
        <f t="shared" si="24"/>
        <v>0</v>
      </c>
      <c r="E62" s="177">
        <f t="shared" si="24"/>
        <v>0</v>
      </c>
      <c r="F62" s="177">
        <f t="shared" si="24"/>
        <v>0</v>
      </c>
      <c r="G62" s="177">
        <f t="shared" si="24"/>
        <v>0</v>
      </c>
      <c r="H62" s="177">
        <f t="shared" si="24"/>
        <v>0</v>
      </c>
      <c r="I62" s="177">
        <f>IF(OR(I$9="Posto/Hora",I9="Posto/Hora extra"),ROUND(I56*(1+I58),2),0)</f>
        <v>32.159999999999997</v>
      </c>
      <c r="J62" s="177">
        <f t="shared" ref="J62:N62" si="25">IF(OR(J$9="Posto/Hora",J9="Posto/Hora extra"),ROUND(J56*(1+J58),2),0)</f>
        <v>36.72</v>
      </c>
      <c r="K62" s="177">
        <f t="shared" si="25"/>
        <v>32.200000000000003</v>
      </c>
      <c r="L62" s="177">
        <f t="shared" si="25"/>
        <v>37</v>
      </c>
      <c r="M62" s="177">
        <f t="shared" si="25"/>
        <v>40.53</v>
      </c>
      <c r="N62" s="177">
        <f t="shared" si="25"/>
        <v>47.83</v>
      </c>
      <c r="CF62" s="92"/>
    </row>
    <row r="63" spans="1:84">
      <c r="A63" s="96"/>
      <c r="B63" s="97"/>
      <c r="C63" s="97"/>
      <c r="D63" s="98"/>
      <c r="E63" s="97"/>
      <c r="F63" s="97"/>
      <c r="G63" s="97"/>
      <c r="H63" s="98"/>
      <c r="I63" s="97"/>
      <c r="J63" s="97"/>
      <c r="K63" s="97"/>
      <c r="L63" s="97"/>
      <c r="M63" s="97"/>
      <c r="N63" s="97"/>
      <c r="CF63" s="92"/>
    </row>
    <row r="64" spans="1:84">
      <c r="A64" s="179" t="s">
        <v>265</v>
      </c>
      <c r="B64" s="180">
        <f>ROUND(IF(OR(B$9="Posto/Dia",B$9="Posto/Dia Líder"),B$60,B62)*B$14,2)</f>
        <v>33822.86</v>
      </c>
      <c r="C64" s="180">
        <f t="shared" ref="C64:N64" si="26">ROUND(IF(OR(C$9="Posto/Dia",C$9="Posto/Dia Líder"),C$60,C62)*C$14,2)</f>
        <v>14746.08</v>
      </c>
      <c r="D64" s="180">
        <f t="shared" si="26"/>
        <v>7889.49</v>
      </c>
      <c r="E64" s="180">
        <f t="shared" si="26"/>
        <v>10632.09</v>
      </c>
      <c r="F64" s="180">
        <f t="shared" si="26"/>
        <v>7878.99</v>
      </c>
      <c r="G64" s="180">
        <f>ROUND(IF(OR(G$9="Posto/Dia",G$9="Posto/Dia Líder"),G$60,G62)*G$14,2)</f>
        <v>15881.3</v>
      </c>
      <c r="H64" s="180">
        <f t="shared" si="26"/>
        <v>7948.29</v>
      </c>
      <c r="I64" s="180">
        <f t="shared" si="26"/>
        <v>6432</v>
      </c>
      <c r="J64" s="180">
        <f t="shared" si="26"/>
        <v>9180</v>
      </c>
      <c r="K64" s="180">
        <f t="shared" si="26"/>
        <v>9660</v>
      </c>
      <c r="L64" s="180">
        <f t="shared" si="26"/>
        <v>5550</v>
      </c>
      <c r="M64" s="180">
        <f t="shared" si="26"/>
        <v>4053</v>
      </c>
      <c r="N64" s="180">
        <f t="shared" si="26"/>
        <v>2391.5</v>
      </c>
      <c r="CF64" s="92"/>
    </row>
    <row r="65" spans="1:84">
      <c r="A65" s="96"/>
      <c r="B65" s="97"/>
      <c r="C65" s="97"/>
      <c r="D65" s="98"/>
      <c r="E65" s="97"/>
      <c r="F65" s="97"/>
      <c r="G65" s="97"/>
      <c r="H65" s="98"/>
      <c r="I65" s="97"/>
      <c r="J65" s="97"/>
      <c r="K65" s="97"/>
      <c r="L65" s="97"/>
      <c r="M65" s="97"/>
      <c r="N65" s="97"/>
      <c r="CF65" s="92"/>
    </row>
    <row r="66" spans="1:84" ht="13.5" customHeight="1">
      <c r="A66" s="179" t="s">
        <v>266</v>
      </c>
      <c r="B66" s="181">
        <f t="shared" ref="B66:H66" si="27">ROUND(B$64*($A$5-B$15+1),2)</f>
        <v>1014685.8</v>
      </c>
      <c r="C66" s="181">
        <f t="shared" si="27"/>
        <v>442382.4</v>
      </c>
      <c r="D66" s="181">
        <f t="shared" si="27"/>
        <v>236684.7</v>
      </c>
      <c r="E66" s="181">
        <f t="shared" si="27"/>
        <v>318962.7</v>
      </c>
      <c r="F66" s="181">
        <f t="shared" si="27"/>
        <v>236369.7</v>
      </c>
      <c r="G66" s="181">
        <f t="shared" si="27"/>
        <v>476439</v>
      </c>
      <c r="H66" s="181">
        <f t="shared" si="27"/>
        <v>238448.7</v>
      </c>
      <c r="I66" s="181">
        <f t="shared" ref="I66:N66" si="28">ROUND(I$64*($A$5-I$15+1),2)</f>
        <v>192960</v>
      </c>
      <c r="J66" s="181">
        <f t="shared" si="28"/>
        <v>275400</v>
      </c>
      <c r="K66" s="181">
        <f t="shared" si="28"/>
        <v>289800</v>
      </c>
      <c r="L66" s="181">
        <f t="shared" si="28"/>
        <v>166500</v>
      </c>
      <c r="M66" s="181">
        <f t="shared" si="28"/>
        <v>121590</v>
      </c>
      <c r="N66" s="181">
        <f t="shared" si="28"/>
        <v>71745</v>
      </c>
      <c r="P66" s="95"/>
      <c r="CF66" s="92"/>
    </row>
    <row r="67" spans="1:84">
      <c r="A67" s="96"/>
      <c r="B67" s="97"/>
      <c r="C67" s="97"/>
      <c r="D67" s="98"/>
      <c r="E67" s="97"/>
      <c r="F67" s="97"/>
      <c r="G67" s="97"/>
      <c r="H67" s="98"/>
      <c r="I67" s="97"/>
      <c r="J67" s="97"/>
      <c r="K67" s="97"/>
      <c r="L67" s="97"/>
      <c r="M67" s="97"/>
      <c r="N67" s="97"/>
      <c r="CF67" s="92"/>
    </row>
    <row r="68" spans="1:84">
      <c r="A68" s="169" t="s">
        <v>267</v>
      </c>
      <c r="B68" s="177">
        <f>IF(OR(B9="Posto/dia",B9="Posto/dia líder"),ROUND(B$25*B13*B10*'Indicadores Financeiros'!$J$70,2),0)</f>
        <v>4392.24</v>
      </c>
      <c r="C68" s="177">
        <f>IF(OR(C9="Posto/dia",C9="Posto/dia líder"),ROUND(C$25*C13*C10*'Indicadores Financeiros'!$J$70,2),0)</f>
        <v>1701.68</v>
      </c>
      <c r="D68" s="177">
        <f>IF(OR(D9="Posto/dia",D9="Posto/dia líder"),ROUND(D$25*D13*D10*'Indicadores Financeiros'!$J$70,2),0)</f>
        <v>850.84</v>
      </c>
      <c r="E68" s="177">
        <f>IF(OR(E9="Posto/dia",E9="Posto/dia líder"),ROUND(E$25*E13*E10*'Indicadores Financeiros'!$J$70,2),0)</f>
        <v>1165.6500000000001</v>
      </c>
      <c r="F68" s="177">
        <f>IF(OR(F9="Posto/dia",F9="Posto/dia líder"),ROUND(F$25*F13*F10*'Indicadores Financeiros'!$J$70,2),0)</f>
        <v>850.84</v>
      </c>
      <c r="G68" s="177">
        <f>IF(OR(G9="Posto/dia",G9="Posto/dia líder"),ROUND(G$25*G13*G10*'Indicadores Financeiros'!$J$70,2),0)</f>
        <v>1858.75</v>
      </c>
      <c r="H68" s="177">
        <f>IF(OR(H9="Posto/dia",H9="Posto/dia líder"),ROUND(H$25*H13*H10*'Indicadores Financeiros'!$J$70,2),0)</f>
        <v>850.84</v>
      </c>
      <c r="I68" s="177">
        <f>IF(OR(I9="Posto/dia",I9="Posto/dia líder"),ROUND(I$25*I13*I10*'Indicadores Financeiros'!$J$70,2),0)</f>
        <v>0</v>
      </c>
      <c r="J68" s="177">
        <f>IF(OR(J9="Posto/dia",J9="Posto/dia líder"),ROUND(J$25*J13*J10*'Indicadores Financeiros'!$J$70,2),0)</f>
        <v>0</v>
      </c>
      <c r="K68" s="177">
        <f>IF(OR(K9="Posto/dia",K9="Posto/dia líder"),ROUND(K$25*K13*K10*'Indicadores Financeiros'!$J$70,2),0)</f>
        <v>0</v>
      </c>
      <c r="L68" s="177">
        <f>IF(OR(L9="Posto/dia",L9="Posto/dia líder"),ROUND(L$25*L13*L10*'Indicadores Financeiros'!$J$70,2),0)</f>
        <v>0</v>
      </c>
      <c r="M68" s="177">
        <f>IF(OR(M9="Posto/dia",M9="Posto/dia líder"),ROUND(M$25*M13*M10*'Indicadores Financeiros'!$J$70,2),0)</f>
        <v>0</v>
      </c>
      <c r="N68" s="177">
        <f>IF(OR(N9="Posto/dia",N9="Posto/dia líder"),ROUND(N$25*N13*N10*'Indicadores Financeiros'!$J$70,2),0)</f>
        <v>0</v>
      </c>
      <c r="CF68" s="92"/>
    </row>
    <row r="69" spans="1:84">
      <c r="A69" s="96"/>
      <c r="B69" s="97"/>
      <c r="C69" s="97"/>
      <c r="D69" s="98"/>
      <c r="E69" s="97"/>
      <c r="F69" s="97"/>
      <c r="G69" s="97"/>
      <c r="H69" s="98"/>
      <c r="I69" s="97"/>
      <c r="J69" s="97"/>
      <c r="K69" s="97"/>
      <c r="L69" s="97"/>
      <c r="M69" s="97"/>
      <c r="N69" s="97"/>
      <c r="CF69" s="92"/>
    </row>
    <row r="70" spans="1:84" hidden="1">
      <c r="A70" s="169" t="s">
        <v>268</v>
      </c>
      <c r="B70" s="177">
        <f>IF(B$9="Posto/Dia",ROUND((ROUND('Indicadores Financeiros'!$J$103,2)+ROUND(B$37/B$11,2)+ROUND((B$25*'Indicadores Financeiros'!$J$60)/B11,2)+ROUND(B$42/B$11,2))*(1+B$58),2),0)</f>
        <v>84.7</v>
      </c>
      <c r="C70" s="177">
        <f>IF(C$9="Posto/Dia",ROUND((ROUND('Indicadores Financeiros'!$J$103,2)+ROUND(C$37/C$11,2)+ROUND(C$25*'Indicadores Financeiros'!$J$60/C11,2)+ROUND(C$42/C$11,2))*(1+C$58),2),0)</f>
        <v>75.02</v>
      </c>
      <c r="D70" s="177">
        <f>IF(D$9="Posto/Dia",ROUND((ROUND('Indicadores Financeiros'!$J$103,2)+ROUND(D$37/D$11,2)+ROUND(D$25*'Indicadores Financeiros'!$J$60/D11,2)+ROUND(D$42/D$11,2))*(1+D$58),2),0)</f>
        <v>67.47</v>
      </c>
      <c r="E70" s="177">
        <f>IF(E$9="Posto/Dia",ROUND((ROUND('Indicadores Financeiros'!$J$103,2)+ROUND(E$37/E$11,2)+ROUND(E$25*'Indicadores Financeiros'!$J$60/E11,2)+ROUND(E$42/E$11,2))*(1+E$58),2),0)</f>
        <v>68.73</v>
      </c>
      <c r="F70" s="177">
        <f>IF(F$9="Posto/Dia",ROUND((ROUND('Indicadores Financeiros'!$J$103,2)+ROUND(F$37/F$11,2)+ROUND(F$25*'Indicadores Financeiros'!$J$60/F11,2)+ROUND(F$42/F$11,2))*(1+F$58),2),0)</f>
        <v>67.08</v>
      </c>
      <c r="G70" s="177">
        <f>IF(G$9="Posto/Dia",ROUND((ROUND('Indicadores Financeiros'!$J$103,2)+ROUND(G$37/G$11,2)+ROUND(G$25*'Indicadores Financeiros'!$J$60/G11,2)+ROUND(G$42/G$11,2))*(1+G$58),2),0)</f>
        <v>0</v>
      </c>
      <c r="H70" s="177">
        <f>IF(H$9="Posto/Dia",ROUND((ROUND('Indicadores Financeiros'!$J$103,2)+ROUND(H$37/H$11,2)+ROUND(H$25*'Indicadores Financeiros'!$J$60/H11,2)+ROUND(H$42/H$11,2))*(1+H$58),2),0)</f>
        <v>69.930000000000007</v>
      </c>
      <c r="I70" s="177"/>
      <c r="J70" s="177"/>
      <c r="K70" s="177"/>
      <c r="L70" s="177"/>
      <c r="M70" s="177"/>
      <c r="N70" s="177"/>
      <c r="CF70" s="92"/>
    </row>
    <row r="71" spans="1:84" hidden="1">
      <c r="A71" s="96"/>
      <c r="B71" s="97"/>
      <c r="C71" s="97"/>
      <c r="D71" s="98"/>
      <c r="E71" s="97"/>
      <c r="F71" s="97"/>
      <c r="G71" s="97"/>
      <c r="H71" s="98"/>
      <c r="I71" s="97"/>
      <c r="J71" s="97"/>
      <c r="K71" s="97"/>
      <c r="L71" s="97"/>
      <c r="M71" s="97"/>
      <c r="N71" s="97"/>
      <c r="CF71" s="92"/>
    </row>
    <row r="72" spans="1:84">
      <c r="A72" s="169" t="s">
        <v>224</v>
      </c>
      <c r="B72" s="177">
        <f>IF(OR(B$9="Posto/Dia",B$9="Posto/Dia Líder"),ROUND(B$60/IF(OR(B$7=680023,B$7=680028),600,720),2),0)</f>
        <v>0.76</v>
      </c>
      <c r="C72" s="177">
        <f t="shared" ref="C72:N72" si="29">IF(OR(C$9="Posto/Dia",C$9="Posto/Dia Líder"),ROUND(C$60/IF(OR(C$7=680010,C$7=680023,C$7=680028),600,720),2),0)</f>
        <v>0.66</v>
      </c>
      <c r="D72" s="177">
        <f t="shared" si="29"/>
        <v>0.52</v>
      </c>
      <c r="E72" s="177">
        <f t="shared" si="29"/>
        <v>0.7</v>
      </c>
      <c r="F72" s="177">
        <f t="shared" si="29"/>
        <v>0.63</v>
      </c>
      <c r="G72" s="177">
        <f t="shared" si="29"/>
        <v>0.71</v>
      </c>
      <c r="H72" s="177">
        <f t="shared" si="29"/>
        <v>0.63</v>
      </c>
      <c r="I72" s="177">
        <f>IF(OR(I$9="Posto/Dia",I$9="Posto/Dia Líder"),ROUND(I$60/IF(OR(I$7=680010,I$7=680023,I$7=680028),600,720),2),0)</f>
        <v>0</v>
      </c>
      <c r="J72" s="177">
        <f t="shared" si="29"/>
        <v>0</v>
      </c>
      <c r="K72" s="177">
        <f t="shared" si="29"/>
        <v>0</v>
      </c>
      <c r="L72" s="177">
        <f t="shared" si="29"/>
        <v>0</v>
      </c>
      <c r="M72" s="177">
        <f t="shared" si="29"/>
        <v>0</v>
      </c>
      <c r="N72" s="177">
        <f t="shared" si="29"/>
        <v>0</v>
      </c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</row>
    <row r="73" spans="1:84" s="92" customFormat="1">
      <c r="A73" s="94"/>
      <c r="B73" s="94"/>
      <c r="C73" s="94"/>
      <c r="D73" s="94"/>
      <c r="E73" s="94"/>
      <c r="F73" s="94"/>
      <c r="H73" s="94"/>
    </row>
    <row r="74" spans="1:84" s="92" customFormat="1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</row>
    <row r="75" spans="1:84" s="92" customFormat="1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1:84" s="92" customFormat="1"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84" s="92" customFormat="1">
      <c r="B77" s="113"/>
    </row>
    <row r="78" spans="1:84" s="92" customFormat="1">
      <c r="B78" s="113"/>
    </row>
    <row r="79" spans="1:84" s="92" customFormat="1">
      <c r="B79" s="95"/>
    </row>
    <row r="80" spans="1:84" s="92" customFormat="1"/>
    <row r="81" s="92" customFormat="1"/>
    <row r="82" s="92" customFormat="1"/>
    <row r="83" s="92" customFormat="1"/>
    <row r="84" s="92" customFormat="1"/>
    <row r="85" s="92" customFormat="1"/>
    <row r="86" s="92" customFormat="1"/>
    <row r="87" s="92" customFormat="1"/>
    <row r="88" s="92" customFormat="1"/>
    <row r="89" s="92" customFormat="1"/>
    <row r="90" s="92" customFormat="1"/>
    <row r="91" s="92" customFormat="1"/>
    <row r="92" s="92" customFormat="1"/>
    <row r="93" s="92" customFormat="1"/>
    <row r="94" s="92" customFormat="1"/>
    <row r="95" s="92" customFormat="1"/>
    <row r="96" s="92" customFormat="1"/>
    <row r="97" s="92" customFormat="1"/>
    <row r="98" s="92" customFormat="1"/>
    <row r="99" s="92" customFormat="1"/>
    <row r="100" s="92" customFormat="1"/>
    <row r="101" s="92" customFormat="1"/>
    <row r="102" s="92" customFormat="1"/>
    <row r="103" s="92" customFormat="1"/>
    <row r="104" s="92" customFormat="1"/>
    <row r="105" s="92" customFormat="1"/>
    <row r="106" s="92" customFormat="1"/>
    <row r="107" s="92" customFormat="1"/>
    <row r="108" s="92" customFormat="1"/>
    <row r="109" s="92" customFormat="1"/>
    <row r="110" s="92" customFormat="1"/>
    <row r="111" s="92" customFormat="1"/>
    <row r="112" s="92" customFormat="1"/>
    <row r="113" s="92" customFormat="1"/>
    <row r="114" s="92" customFormat="1"/>
    <row r="115" s="92" customFormat="1"/>
    <row r="116" s="92" customFormat="1"/>
    <row r="117" s="92" customFormat="1"/>
    <row r="118" s="92" customFormat="1"/>
    <row r="119" s="92" customFormat="1"/>
    <row r="120" s="92" customFormat="1"/>
    <row r="121" s="92" customFormat="1"/>
    <row r="122" s="92" customFormat="1"/>
    <row r="123" s="92" customFormat="1"/>
    <row r="124" s="92" customFormat="1"/>
    <row r="125" s="92" customFormat="1"/>
    <row r="126" s="92" customFormat="1"/>
    <row r="127" s="92" customFormat="1"/>
    <row r="128" s="92" customFormat="1"/>
    <row r="129" s="92" customFormat="1"/>
    <row r="130" s="92" customFormat="1"/>
    <row r="131" s="92" customFormat="1"/>
    <row r="132" s="92" customFormat="1"/>
    <row r="133" s="92" customFormat="1"/>
    <row r="134" s="92" customFormat="1"/>
    <row r="135" s="92" customFormat="1"/>
    <row r="136" s="92" customFormat="1"/>
    <row r="137" s="92" customFormat="1"/>
    <row r="138" s="92" customFormat="1"/>
    <row r="139" s="92" customFormat="1"/>
    <row r="140" s="92" customFormat="1"/>
    <row r="141" s="92" customFormat="1"/>
    <row r="142" s="92" customFormat="1"/>
    <row r="143" s="92" customFormat="1"/>
    <row r="144" s="92" customFormat="1"/>
    <row r="145" s="92" customFormat="1"/>
    <row r="146" s="92" customFormat="1"/>
    <row r="147" s="92" customFormat="1"/>
    <row r="148" s="92" customFormat="1"/>
    <row r="149" s="92" customFormat="1"/>
    <row r="150" s="92" customFormat="1"/>
    <row r="151" s="92" customFormat="1"/>
    <row r="152" s="92" customFormat="1"/>
    <row r="153" s="92" customFormat="1"/>
    <row r="154" s="92" customFormat="1"/>
    <row r="155" s="92" customFormat="1"/>
    <row r="156" s="92" customFormat="1"/>
    <row r="157" s="92" customFormat="1"/>
    <row r="158" s="92" customFormat="1"/>
    <row r="159" s="92" customFormat="1"/>
    <row r="160" s="92" customFormat="1"/>
    <row r="161" s="92" customFormat="1"/>
    <row r="162" s="92" customFormat="1"/>
    <row r="163" s="92" customFormat="1"/>
    <row r="164" s="92" customFormat="1"/>
    <row r="165" s="92" customFormat="1"/>
    <row r="166" s="92" customFormat="1"/>
    <row r="167" s="92" customFormat="1"/>
    <row r="168" s="92" customFormat="1"/>
    <row r="169" s="92" customFormat="1"/>
    <row r="170" s="92" customFormat="1"/>
    <row r="171" s="92" customFormat="1"/>
    <row r="172" s="92" customFormat="1"/>
    <row r="173" s="92" customFormat="1"/>
    <row r="174" s="92" customFormat="1"/>
    <row r="175" s="92" customFormat="1"/>
    <row r="176" s="92" customFormat="1"/>
    <row r="177" s="92" customFormat="1"/>
    <row r="178" s="92" customFormat="1"/>
    <row r="179" s="92" customFormat="1"/>
    <row r="180" s="92" customFormat="1"/>
    <row r="181" s="92" customFormat="1"/>
    <row r="182" s="92" customFormat="1"/>
    <row r="183" s="92" customFormat="1"/>
    <row r="184" s="92" customFormat="1"/>
    <row r="185" s="92" customFormat="1"/>
    <row r="186" s="92" customFormat="1"/>
    <row r="187" s="92" customFormat="1"/>
    <row r="188" s="92" customFormat="1"/>
    <row r="189" s="92" customFormat="1"/>
    <row r="190" s="92" customFormat="1"/>
    <row r="191" s="92" customFormat="1"/>
    <row r="192" s="92" customFormat="1"/>
    <row r="193" s="92" customFormat="1"/>
    <row r="194" s="92" customFormat="1"/>
    <row r="195" s="92" customFormat="1"/>
    <row r="196" s="92" customFormat="1"/>
    <row r="197" s="92" customFormat="1"/>
    <row r="198" s="92" customFormat="1"/>
    <row r="199" s="92" customFormat="1"/>
    <row r="200" s="92" customFormat="1"/>
    <row r="201" s="92" customFormat="1"/>
    <row r="202" s="92" customFormat="1"/>
    <row r="203" s="92" customFormat="1"/>
    <row r="204" s="92" customFormat="1"/>
    <row r="205" s="92" customFormat="1"/>
    <row r="206" s="92" customFormat="1"/>
    <row r="207" s="92" customFormat="1"/>
    <row r="208" s="92" customFormat="1"/>
    <row r="209" s="92" customFormat="1"/>
    <row r="210" s="92" customFormat="1"/>
    <row r="211" s="92" customFormat="1"/>
    <row r="212" s="92" customFormat="1"/>
    <row r="213" s="92" customFormat="1"/>
    <row r="214" s="92" customFormat="1"/>
    <row r="215" s="92" customFormat="1"/>
    <row r="216" s="92" customFormat="1"/>
    <row r="217" s="92" customFormat="1"/>
    <row r="218" s="92" customFormat="1"/>
    <row r="219" s="92" customFormat="1"/>
    <row r="220" s="92" customFormat="1"/>
    <row r="221" s="92" customFormat="1"/>
    <row r="222" s="92" customFormat="1"/>
    <row r="223" s="92" customFormat="1"/>
    <row r="224" s="92" customFormat="1"/>
    <row r="225" s="92" customFormat="1"/>
    <row r="226" s="92" customFormat="1"/>
    <row r="227" s="92" customFormat="1"/>
    <row r="228" s="92" customFormat="1"/>
    <row r="229" s="92" customFormat="1"/>
    <row r="230" s="92" customFormat="1"/>
    <row r="231" s="92" customFormat="1"/>
    <row r="232" s="92" customFormat="1"/>
    <row r="233" s="92" customFormat="1"/>
    <row r="234" s="92" customFormat="1"/>
    <row r="235" s="92" customFormat="1"/>
    <row r="236" s="92" customFormat="1"/>
    <row r="237" s="92" customFormat="1"/>
    <row r="238" s="92" customFormat="1"/>
    <row r="239" s="92" customFormat="1"/>
    <row r="240" s="92" customFormat="1"/>
    <row r="241" s="92" customFormat="1"/>
    <row r="242" s="92" customFormat="1"/>
    <row r="243" s="92" customFormat="1"/>
    <row r="244" s="92" customFormat="1"/>
    <row r="245" s="92" customFormat="1"/>
    <row r="246" s="92" customFormat="1"/>
    <row r="247" s="92" customFormat="1"/>
    <row r="248" s="92" customFormat="1"/>
    <row r="249" s="92" customFormat="1"/>
    <row r="250" s="92" customFormat="1"/>
    <row r="251" s="92" customFormat="1"/>
    <row r="252" s="92" customFormat="1"/>
    <row r="253" s="92" customFormat="1"/>
    <row r="254" s="92" customFormat="1"/>
    <row r="255" s="92" customFormat="1"/>
    <row r="256" s="92" customFormat="1"/>
    <row r="257" s="92" customFormat="1"/>
    <row r="258" s="92" customFormat="1"/>
    <row r="259" s="92" customFormat="1"/>
    <row r="260" s="92" customFormat="1"/>
    <row r="261" s="92" customFormat="1"/>
    <row r="262" s="92" customFormat="1"/>
    <row r="263" s="92" customFormat="1"/>
    <row r="264" s="92" customFormat="1"/>
    <row r="265" s="92" customFormat="1"/>
    <row r="266" s="92" customFormat="1"/>
    <row r="267" s="92" customFormat="1"/>
    <row r="268" s="92" customFormat="1"/>
    <row r="269" s="92" customFormat="1"/>
    <row r="270" s="92" customFormat="1"/>
    <row r="271" s="92" customFormat="1"/>
    <row r="272" s="92" customFormat="1"/>
    <row r="273" s="92" customFormat="1"/>
    <row r="274" s="92" customFormat="1"/>
    <row r="275" s="92" customFormat="1"/>
    <row r="276" s="92" customFormat="1"/>
    <row r="277" s="92" customFormat="1"/>
    <row r="278" s="92" customFormat="1"/>
    <row r="279" s="92" customFormat="1"/>
    <row r="280" s="92" customFormat="1"/>
    <row r="281" s="92" customFormat="1"/>
    <row r="282" s="92" customFormat="1"/>
    <row r="283" s="92" customFormat="1"/>
    <row r="284" s="92" customFormat="1"/>
    <row r="285" s="92" customFormat="1"/>
    <row r="286" s="92" customFormat="1"/>
    <row r="287" s="92" customFormat="1"/>
    <row r="288" s="92" customFormat="1"/>
    <row r="289" s="92" customFormat="1"/>
    <row r="290" s="92" customFormat="1"/>
    <row r="291" s="92" customFormat="1"/>
    <row r="292" s="92" customFormat="1"/>
    <row r="293" s="92" customFormat="1"/>
    <row r="294" s="92" customFormat="1"/>
    <row r="295" s="92" customFormat="1"/>
    <row r="296" s="92" customFormat="1"/>
    <row r="297" s="92" customFormat="1"/>
    <row r="298" s="92" customFormat="1"/>
    <row r="299" s="92" customFormat="1"/>
    <row r="300" s="92" customFormat="1"/>
    <row r="301" s="92" customFormat="1"/>
    <row r="302" s="92" customFormat="1"/>
    <row r="303" s="92" customFormat="1"/>
    <row r="304" s="92" customFormat="1"/>
    <row r="305" s="92" customFormat="1"/>
    <row r="306" s="92" customFormat="1"/>
    <row r="307" s="92" customFormat="1"/>
    <row r="308" s="92" customFormat="1"/>
    <row r="309" s="92" customFormat="1"/>
    <row r="310" s="92" customFormat="1"/>
    <row r="311" s="92" customFormat="1"/>
    <row r="312" s="92" customFormat="1"/>
    <row r="313" s="92" customFormat="1"/>
    <row r="314" s="92" customFormat="1"/>
    <row r="315" s="92" customFormat="1"/>
    <row r="316" s="92" customFormat="1"/>
    <row r="317" s="92" customFormat="1"/>
    <row r="318" s="92" customFormat="1"/>
    <row r="319" s="92" customFormat="1"/>
    <row r="320" s="92" customFormat="1"/>
    <row r="321" s="92" customFormat="1"/>
    <row r="322" s="92" customFormat="1"/>
    <row r="323" s="92" customFormat="1"/>
    <row r="324" s="92" customFormat="1"/>
    <row r="325" s="92" customFormat="1"/>
    <row r="326" s="92" customFormat="1"/>
    <row r="327" s="92" customFormat="1"/>
    <row r="328" s="92" customFormat="1"/>
    <row r="329" s="92" customFormat="1"/>
    <row r="330" s="92" customFormat="1"/>
    <row r="331" s="92" customFormat="1"/>
    <row r="332" s="92" customFormat="1"/>
    <row r="333" s="92" customFormat="1"/>
    <row r="334" s="92" customFormat="1"/>
    <row r="335" s="92" customFormat="1"/>
    <row r="336" s="92" customFormat="1"/>
    <row r="337" s="92" customFormat="1"/>
    <row r="338" s="92" customFormat="1"/>
    <row r="339" s="92" customFormat="1"/>
    <row r="340" s="92" customFormat="1"/>
    <row r="341" s="92" customFormat="1"/>
    <row r="342" s="92" customFormat="1"/>
    <row r="343" s="92" customFormat="1"/>
    <row r="344" s="92" customFormat="1"/>
    <row r="345" s="92" customFormat="1"/>
    <row r="346" s="92" customFormat="1"/>
    <row r="347" s="92" customFormat="1"/>
    <row r="348" s="92" customFormat="1"/>
    <row r="349" s="92" customFormat="1"/>
    <row r="350" s="92" customFormat="1"/>
    <row r="351" s="92" customFormat="1"/>
    <row r="352" s="92" customFormat="1"/>
    <row r="353" s="92" customFormat="1"/>
    <row r="354" s="92" customFormat="1"/>
    <row r="355" s="92" customFormat="1"/>
    <row r="356" s="92" customFormat="1"/>
    <row r="357" s="92" customFormat="1"/>
    <row r="358" s="92" customFormat="1"/>
    <row r="359" s="92" customFormat="1"/>
    <row r="360" s="92" customFormat="1"/>
    <row r="361" s="92" customFormat="1"/>
    <row r="362" s="92" customFormat="1"/>
    <row r="363" s="92" customFormat="1"/>
    <row r="364" s="92" customFormat="1"/>
    <row r="365" s="92" customFormat="1"/>
    <row r="366" s="92" customFormat="1"/>
    <row r="367" s="92" customFormat="1"/>
    <row r="368" s="92" customFormat="1"/>
    <row r="369" s="92" customFormat="1"/>
    <row r="370" s="92" customFormat="1"/>
    <row r="371" s="92" customFormat="1"/>
    <row r="372" s="92" customFormat="1"/>
    <row r="373" s="92" customFormat="1"/>
    <row r="374" s="92" customFormat="1"/>
    <row r="375" s="92" customFormat="1"/>
    <row r="376" s="92" customFormat="1"/>
    <row r="377" s="92" customFormat="1"/>
    <row r="378" s="92" customFormat="1"/>
    <row r="379" s="92" customFormat="1"/>
    <row r="380" s="92" customFormat="1"/>
    <row r="381" s="92" customFormat="1"/>
    <row r="382" s="92" customFormat="1"/>
    <row r="383" s="92" customFormat="1"/>
    <row r="384" s="92" customFormat="1"/>
    <row r="385" s="92" customFormat="1"/>
    <row r="386" s="92" customFormat="1"/>
    <row r="387" s="92" customFormat="1"/>
    <row r="388" s="92" customFormat="1"/>
    <row r="389" s="92" customFormat="1"/>
    <row r="390" s="92" customFormat="1"/>
    <row r="391" s="92" customFormat="1"/>
    <row r="392" s="92" customFormat="1"/>
    <row r="393" s="92" customFormat="1"/>
    <row r="394" s="92" customFormat="1"/>
    <row r="395" s="92" customFormat="1"/>
    <row r="396" s="92" customFormat="1"/>
    <row r="397" s="92" customFormat="1"/>
    <row r="398" s="92" customFormat="1"/>
    <row r="399" s="92" customFormat="1"/>
    <row r="400" s="92" customFormat="1"/>
    <row r="401" s="92" customFormat="1"/>
    <row r="402" s="92" customFormat="1"/>
    <row r="403" s="92" customFormat="1"/>
    <row r="404" s="92" customFormat="1"/>
    <row r="405" s="92" customFormat="1"/>
    <row r="406" s="92" customFormat="1"/>
    <row r="407" s="92" customFormat="1"/>
    <row r="408" s="92" customFormat="1"/>
    <row r="409" s="92" customFormat="1"/>
    <row r="410" s="92" customFormat="1"/>
    <row r="411" s="92" customFormat="1"/>
    <row r="412" s="92" customFormat="1"/>
    <row r="413" s="92" customFormat="1"/>
    <row r="414" s="92" customFormat="1"/>
    <row r="415" s="92" customFormat="1"/>
    <row r="416" s="92" customFormat="1"/>
    <row r="417" s="92" customFormat="1"/>
    <row r="418" s="92" customFormat="1"/>
    <row r="419" s="92" customFormat="1"/>
    <row r="420" s="92" customFormat="1"/>
    <row r="421" s="92" customFormat="1"/>
    <row r="422" s="92" customFormat="1"/>
    <row r="423" s="92" customFormat="1"/>
    <row r="424" s="92" customFormat="1"/>
    <row r="425" s="92" customFormat="1"/>
    <row r="426" s="92" customFormat="1"/>
    <row r="427" s="92" customFormat="1"/>
    <row r="428" s="92" customFormat="1"/>
    <row r="429" s="92" customFormat="1"/>
    <row r="430" s="92" customFormat="1"/>
    <row r="431" s="92" customFormat="1"/>
    <row r="432" s="92" customFormat="1"/>
    <row r="433" s="92" customFormat="1"/>
    <row r="434" s="92" customFormat="1"/>
    <row r="435" s="92" customFormat="1"/>
    <row r="436" s="92" customFormat="1"/>
    <row r="437" s="92" customFormat="1"/>
    <row r="438" s="92" customFormat="1"/>
    <row r="439" s="92" customFormat="1"/>
    <row r="440" s="92" customFormat="1"/>
    <row r="441" s="92" customFormat="1"/>
    <row r="442" s="92" customFormat="1"/>
    <row r="443" s="92" customFormat="1"/>
    <row r="444" s="92" customFormat="1"/>
    <row r="445" s="92" customFormat="1"/>
    <row r="446" s="92" customFormat="1"/>
    <row r="447" s="92" customFormat="1"/>
    <row r="448" s="92" customFormat="1"/>
    <row r="449" s="92" customFormat="1"/>
    <row r="450" s="92" customFormat="1"/>
    <row r="451" s="92" customFormat="1"/>
    <row r="452" s="92" customFormat="1"/>
    <row r="453" s="92" customFormat="1"/>
    <row r="454" s="92" customFormat="1"/>
    <row r="455" s="92" customFormat="1"/>
    <row r="456" s="92" customFormat="1"/>
    <row r="457" s="92" customFormat="1"/>
    <row r="458" s="92" customFormat="1"/>
    <row r="459" s="92" customFormat="1"/>
    <row r="460" s="92" customFormat="1"/>
    <row r="461" s="92" customFormat="1"/>
    <row r="462" s="92" customFormat="1"/>
    <row r="463" s="92" customFormat="1"/>
    <row r="464" s="92" customFormat="1"/>
    <row r="465" s="92" customFormat="1"/>
    <row r="466" s="92" customFormat="1"/>
    <row r="467" s="92" customFormat="1"/>
    <row r="468" s="92" customFormat="1"/>
    <row r="469" s="92" customFormat="1"/>
    <row r="470" s="92" customFormat="1"/>
    <row r="471" s="92" customFormat="1"/>
    <row r="472" s="92" customFormat="1"/>
    <row r="473" s="92" customFormat="1"/>
    <row r="474" s="92" customFormat="1"/>
    <row r="475" s="92" customFormat="1"/>
    <row r="476" s="92" customFormat="1"/>
    <row r="477" s="92" customFormat="1"/>
    <row r="478" s="92" customFormat="1"/>
    <row r="479" s="92" customFormat="1"/>
    <row r="480" s="92" customFormat="1"/>
    <row r="481" s="92" customFormat="1"/>
    <row r="482" s="92" customFormat="1"/>
    <row r="483" s="92" customFormat="1"/>
    <row r="484" s="92" customFormat="1"/>
    <row r="485" s="92" customFormat="1"/>
    <row r="486" s="92" customFormat="1"/>
    <row r="487" s="92" customFormat="1"/>
    <row r="488" s="92" customFormat="1"/>
    <row r="489" s="92" customFormat="1"/>
    <row r="490" s="92" customFormat="1"/>
    <row r="491" s="92" customFormat="1"/>
    <row r="492" s="92" customFormat="1"/>
    <row r="493" s="92" customFormat="1"/>
    <row r="494" s="92" customFormat="1"/>
    <row r="495" s="92" customFormat="1"/>
    <row r="496" s="92" customFormat="1"/>
    <row r="497" s="92" customFormat="1"/>
    <row r="498" s="92" customFormat="1"/>
    <row r="499" s="92" customFormat="1"/>
    <row r="500" s="92" customFormat="1"/>
    <row r="501" s="92" customFormat="1"/>
    <row r="502" s="92" customFormat="1"/>
    <row r="503" s="92" customFormat="1"/>
    <row r="504" s="92" customFormat="1"/>
    <row r="505" s="92" customFormat="1"/>
    <row r="506" s="92" customFormat="1"/>
    <row r="507" s="92" customFormat="1"/>
    <row r="508" s="92" customFormat="1"/>
    <row r="509" s="92" customFormat="1"/>
    <row r="510" s="92" customFormat="1"/>
    <row r="511" s="92" customFormat="1"/>
    <row r="512" s="92" customFormat="1"/>
    <row r="513" s="92" customFormat="1"/>
    <row r="514" s="92" customFormat="1"/>
    <row r="515" s="92" customFormat="1"/>
    <row r="516" s="92" customFormat="1"/>
    <row r="517" s="92" customFormat="1"/>
    <row r="518" s="92" customFormat="1"/>
    <row r="519" s="92" customFormat="1"/>
    <row r="520" s="92" customFormat="1"/>
    <row r="521" s="92" customFormat="1"/>
    <row r="522" s="92" customFormat="1"/>
    <row r="523" s="92" customFormat="1"/>
    <row r="524" s="92" customFormat="1"/>
    <row r="525" s="92" customFormat="1"/>
    <row r="526" s="92" customFormat="1"/>
    <row r="527" s="92" customFormat="1"/>
    <row r="528" s="92" customFormat="1"/>
    <row r="529" s="92" customFormat="1"/>
    <row r="530" s="92" customFormat="1"/>
    <row r="531" s="92" customFormat="1"/>
    <row r="532" s="92" customFormat="1"/>
    <row r="533" s="92" customFormat="1"/>
    <row r="534" s="92" customFormat="1"/>
    <row r="535" s="92" customFormat="1"/>
    <row r="536" s="92" customFormat="1"/>
    <row r="537" s="92" customFormat="1"/>
    <row r="538" s="92" customFormat="1"/>
    <row r="539" s="92" customFormat="1"/>
    <row r="540" s="92" customFormat="1"/>
    <row r="541" s="92" customFormat="1"/>
    <row r="542" s="92" customFormat="1"/>
    <row r="543" s="92" customFormat="1"/>
    <row r="544" s="92" customFormat="1"/>
    <row r="545" s="92" customFormat="1"/>
    <row r="546" s="92" customFormat="1"/>
    <row r="547" s="92" customFormat="1"/>
    <row r="548" s="92" customFormat="1"/>
    <row r="549" s="92" customFormat="1"/>
    <row r="550" s="92" customFormat="1"/>
    <row r="551" s="92" customFormat="1"/>
    <row r="552" s="92" customFormat="1"/>
    <row r="553" s="92" customFormat="1"/>
    <row r="554" s="92" customFormat="1"/>
    <row r="555" s="92" customFormat="1"/>
    <row r="556" s="92" customFormat="1"/>
    <row r="557" s="92" customFormat="1"/>
    <row r="558" s="92" customFormat="1"/>
    <row r="559" s="92" customFormat="1"/>
    <row r="560" s="92" customFormat="1"/>
    <row r="561" s="92" customFormat="1"/>
    <row r="562" s="92" customFormat="1"/>
    <row r="563" s="92" customFormat="1"/>
    <row r="564" s="92" customFormat="1"/>
    <row r="565" s="92" customFormat="1"/>
    <row r="566" s="92" customFormat="1"/>
    <row r="567" s="92" customFormat="1"/>
    <row r="568" s="92" customFormat="1"/>
    <row r="569" s="92" customFormat="1"/>
    <row r="570" s="92" customFormat="1"/>
    <row r="571" s="92" customFormat="1"/>
    <row r="572" s="92" customFormat="1"/>
    <row r="573" s="92" customFormat="1"/>
    <row r="574" s="92" customFormat="1"/>
    <row r="575" s="92" customFormat="1"/>
    <row r="576" s="92" customFormat="1"/>
    <row r="577" spans="7:83" s="92" customFormat="1"/>
    <row r="578" spans="7:83">
      <c r="G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4"/>
      <c r="AV578" s="94"/>
      <c r="AW578" s="94"/>
      <c r="AX578" s="94"/>
      <c r="AY578" s="94"/>
      <c r="AZ578" s="94"/>
      <c r="BA578" s="94"/>
      <c r="BB578" s="94"/>
      <c r="BC578" s="94"/>
      <c r="BD578" s="94"/>
      <c r="BE578" s="94"/>
      <c r="BF578" s="94"/>
      <c r="BG578" s="94"/>
      <c r="BH578" s="94"/>
      <c r="BI578" s="94"/>
      <c r="BJ578" s="94"/>
      <c r="BK578" s="94"/>
      <c r="BL578" s="94"/>
      <c r="BM578" s="94"/>
      <c r="BN578" s="94"/>
      <c r="BO578" s="94"/>
      <c r="BP578" s="94"/>
      <c r="BQ578" s="94"/>
      <c r="BR578" s="94"/>
      <c r="BS578" s="94"/>
      <c r="BT578" s="94"/>
      <c r="BU578" s="94"/>
      <c r="BV578" s="94"/>
      <c r="BW578" s="94"/>
      <c r="BX578" s="94"/>
      <c r="BY578" s="94"/>
      <c r="BZ578" s="94"/>
      <c r="CA578" s="94"/>
      <c r="CB578" s="94"/>
      <c r="CC578" s="94"/>
      <c r="CD578" s="94"/>
      <c r="CE578" s="94"/>
    </row>
  </sheetData>
  <mergeCells count="1">
    <mergeCell ref="A1:N1"/>
  </mergeCells>
  <conditionalFormatting sqref="A3">
    <cfRule type="notContainsBlanks" dxfId="4" priority="1">
      <formula>LEN(TRIM(A3))&gt;0</formula>
    </cfRule>
  </conditionalFormatting>
  <dataValidations disablePrompts="1" count="1">
    <dataValidation type="list" allowBlank="1" showInputMessage="1" showErrorMessage="1" sqref="A4" xr:uid="{00000000-0002-0000-0400-000000000000}">
      <formula1>$B$121:$B$180</formula1>
    </dataValidation>
  </dataValidations>
  <pageMargins left="0.39370078740157483" right="0.23622047244094491" top="0.35433070866141736" bottom="0.35433070866141736" header="0.23622047244094491" footer="0.19685039370078741"/>
  <pageSetup paperSize="9" scale="4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1000000}">
          <x14:formula1>
            <xm:f>'Indicadores Financeiros'!$B$123:$B$182</xm:f>
          </x14:formula1>
          <xm:sqref>A3 H3:H4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ED51-2101-48E0-AEEE-4D938F5FB874}">
  <sheetPr>
    <tabColor rgb="FF00B050"/>
  </sheetPr>
  <dimension ref="B1:N22"/>
  <sheetViews>
    <sheetView showGridLines="0" zoomScaleNormal="100" workbookViewId="0">
      <selection activeCell="P17" sqref="P17"/>
    </sheetView>
  </sheetViews>
  <sheetFormatPr defaultRowHeight="15"/>
  <cols>
    <col min="1" max="1" width="2" customWidth="1"/>
    <col min="2" max="2" width="1.7109375" customWidth="1"/>
    <col min="3" max="3" width="12.28515625" customWidth="1"/>
    <col min="10" max="10" width="9.7109375" customWidth="1"/>
    <col min="11" max="11" width="2.5703125" customWidth="1"/>
    <col min="12" max="12" width="3" customWidth="1"/>
    <col min="14" max="14" width="16.42578125" customWidth="1"/>
    <col min="15" max="15" width="3" customWidth="1"/>
  </cols>
  <sheetData>
    <row r="1" spans="2:14" ht="23.25" customHeight="1" thickBot="1"/>
    <row r="2" spans="2:14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4" ht="18.75">
      <c r="B3" s="260"/>
      <c r="E3" s="287" t="s">
        <v>269</v>
      </c>
      <c r="K3" s="262"/>
    </row>
    <row r="4" spans="2:14" ht="18.75">
      <c r="B4" s="260"/>
      <c r="E4" s="288" t="s">
        <v>270</v>
      </c>
      <c r="K4" s="262"/>
    </row>
    <row r="5" spans="2:14">
      <c r="B5" s="260"/>
      <c r="K5" s="262"/>
    </row>
    <row r="6" spans="2:14" ht="15" customHeight="1">
      <c r="B6" s="260"/>
      <c r="C6" s="383" t="s">
        <v>271</v>
      </c>
      <c r="D6" s="383"/>
      <c r="E6" s="383"/>
      <c r="F6" s="383"/>
      <c r="G6" s="383"/>
      <c r="H6" s="383"/>
      <c r="I6" s="383"/>
      <c r="J6" s="383"/>
      <c r="K6" s="286"/>
      <c r="L6" s="268"/>
      <c r="M6" s="268"/>
      <c r="N6" s="268"/>
    </row>
    <row r="7" spans="2:14">
      <c r="B7" s="260"/>
      <c r="K7" s="262"/>
    </row>
    <row r="8" spans="2:14">
      <c r="B8" s="260"/>
      <c r="C8" s="281" t="s">
        <v>272</v>
      </c>
      <c r="D8" s="281"/>
      <c r="E8" s="281"/>
      <c r="F8" s="281"/>
      <c r="G8" s="281"/>
      <c r="H8" s="281"/>
      <c r="I8" s="281"/>
      <c r="J8" s="281"/>
      <c r="K8" s="283"/>
      <c r="L8" s="281"/>
      <c r="M8" s="281"/>
      <c r="N8" s="281"/>
    </row>
    <row r="9" spans="2:14" ht="28.5" customHeight="1">
      <c r="B9" s="260"/>
      <c r="C9" s="384" t="s">
        <v>273</v>
      </c>
      <c r="D9" s="384"/>
      <c r="E9" s="384"/>
      <c r="F9" s="384"/>
      <c r="G9" s="384"/>
      <c r="H9" s="384"/>
      <c r="I9" s="384"/>
      <c r="J9" s="384"/>
      <c r="K9" s="289"/>
      <c r="L9" s="282"/>
      <c r="M9" s="282"/>
      <c r="N9" s="282"/>
    </row>
    <row r="10" spans="2:14">
      <c r="B10" s="260"/>
      <c r="K10" s="262"/>
    </row>
    <row r="11" spans="2:14">
      <c r="B11" s="260"/>
      <c r="C11" s="281" t="s">
        <v>274</v>
      </c>
      <c r="D11" s="281"/>
      <c r="E11" s="281"/>
      <c r="F11" s="281"/>
      <c r="G11" s="281"/>
      <c r="H11" s="281"/>
      <c r="I11" s="281"/>
      <c r="J11" s="281"/>
      <c r="K11" s="283"/>
      <c r="L11" s="281"/>
      <c r="M11" s="281"/>
      <c r="N11" s="281"/>
    </row>
    <row r="12" spans="2:14" ht="47.25" customHeight="1">
      <c r="B12" s="260"/>
      <c r="C12" s="382" t="s">
        <v>275</v>
      </c>
      <c r="D12" s="382"/>
      <c r="E12" s="382"/>
      <c r="F12" s="382"/>
      <c r="G12" s="382"/>
      <c r="H12" s="382"/>
      <c r="I12" s="382"/>
      <c r="J12" s="382"/>
      <c r="K12" s="290"/>
      <c r="L12" s="282"/>
      <c r="M12" s="282"/>
      <c r="N12" s="282"/>
    </row>
    <row r="13" spans="2:14">
      <c r="B13" s="260"/>
      <c r="K13" s="262"/>
    </row>
    <row r="14" spans="2:14">
      <c r="B14" s="260"/>
      <c r="C14" s="281" t="s">
        <v>276</v>
      </c>
      <c r="D14" s="281"/>
      <c r="E14" s="281"/>
      <c r="F14" s="281"/>
      <c r="G14" s="281"/>
      <c r="H14" s="281"/>
      <c r="I14" s="281"/>
      <c r="J14" s="281"/>
      <c r="K14" s="283"/>
      <c r="L14" s="281"/>
      <c r="M14" s="281"/>
      <c r="N14" s="281"/>
    </row>
    <row r="15" spans="2:14" ht="46.5" customHeight="1">
      <c r="B15" s="260"/>
      <c r="C15" s="382" t="s">
        <v>277</v>
      </c>
      <c r="D15" s="382"/>
      <c r="E15" s="382"/>
      <c r="F15" s="382"/>
      <c r="G15" s="382"/>
      <c r="H15" s="382"/>
      <c r="I15" s="382"/>
      <c r="J15" s="382"/>
      <c r="K15" s="290"/>
      <c r="L15" s="282"/>
      <c r="M15" s="282"/>
      <c r="N15" s="282"/>
    </row>
    <row r="16" spans="2:14">
      <c r="B16" s="260"/>
      <c r="K16" s="262"/>
    </row>
    <row r="17" spans="2:14">
      <c r="B17" s="260"/>
      <c r="C17" s="281" t="s">
        <v>278</v>
      </c>
      <c r="D17" s="281"/>
      <c r="E17" s="281"/>
      <c r="F17" s="281"/>
      <c r="G17" s="281"/>
      <c r="H17" s="281"/>
      <c r="I17" s="281"/>
      <c r="J17" s="281"/>
      <c r="K17" s="283"/>
      <c r="L17" s="281"/>
      <c r="M17" s="281"/>
      <c r="N17" s="281"/>
    </row>
    <row r="18" spans="2:14" ht="48" customHeight="1">
      <c r="B18" s="260"/>
      <c r="C18" s="382" t="s">
        <v>279</v>
      </c>
      <c r="D18" s="382"/>
      <c r="E18" s="382"/>
      <c r="F18" s="382"/>
      <c r="G18" s="382"/>
      <c r="H18" s="382"/>
      <c r="I18" s="382"/>
      <c r="J18" s="382"/>
      <c r="K18" s="290"/>
      <c r="L18" s="282"/>
      <c r="M18" s="282"/>
      <c r="N18" s="282"/>
    </row>
    <row r="19" spans="2:14">
      <c r="B19" s="260"/>
      <c r="C19" s="284"/>
      <c r="K19" s="262"/>
    </row>
    <row r="20" spans="2:14">
      <c r="B20" s="260"/>
      <c r="C20" s="285" t="s">
        <v>280</v>
      </c>
      <c r="K20" s="262"/>
    </row>
    <row r="21" spans="2:14" ht="61.5" customHeight="1">
      <c r="B21" s="260"/>
      <c r="C21" s="382" t="s">
        <v>281</v>
      </c>
      <c r="D21" s="382"/>
      <c r="E21" s="382"/>
      <c r="F21" s="382"/>
      <c r="G21" s="382"/>
      <c r="H21" s="382"/>
      <c r="I21" s="382"/>
      <c r="J21" s="382"/>
      <c r="K21" s="262"/>
    </row>
    <row r="22" spans="2:14" ht="16.5" customHeight="1" thickBot="1">
      <c r="B22" s="265"/>
      <c r="C22" s="266"/>
      <c r="D22" s="266"/>
      <c r="E22" s="266"/>
      <c r="F22" s="266"/>
      <c r="G22" s="266"/>
      <c r="H22" s="266"/>
      <c r="I22" s="266"/>
      <c r="J22" s="266"/>
      <c r="K22" s="291"/>
      <c r="L22" s="282"/>
      <c r="M22" s="282"/>
      <c r="N22" s="282"/>
    </row>
  </sheetData>
  <mergeCells count="6">
    <mergeCell ref="C21:J21"/>
    <mergeCell ref="C6:J6"/>
    <mergeCell ref="C9:J9"/>
    <mergeCell ref="C12:J12"/>
    <mergeCell ref="C15:J15"/>
    <mergeCell ref="C18:J18"/>
  </mergeCells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324"/>
  <sheetViews>
    <sheetView showGridLines="0" zoomScaleNormal="100" workbookViewId="0">
      <pane ySplit="1" topLeftCell="A2" activePane="bottomLeft" state="frozen"/>
      <selection pane="bottomLeft" activeCell="Q29" sqref="Q29"/>
      <selection activeCell="D14" sqref="D14:D16"/>
    </sheetView>
  </sheetViews>
  <sheetFormatPr defaultRowHeight="15"/>
  <cols>
    <col min="1" max="1" width="9.5703125" style="116" customWidth="1"/>
    <col min="2" max="2" width="23.28515625" bestFit="1" customWidth="1"/>
    <col min="3" max="3" width="7.5703125" customWidth="1"/>
    <col min="4" max="4" width="9.5703125" customWidth="1"/>
    <col min="5" max="5" width="36.28515625" bestFit="1" customWidth="1"/>
    <col min="7" max="7" width="16.85546875" customWidth="1"/>
    <col min="8" max="8" width="20.5703125" customWidth="1"/>
  </cols>
  <sheetData>
    <row r="1" spans="1:8">
      <c r="A1" s="116" t="s">
        <v>282</v>
      </c>
      <c r="B1" t="s">
        <v>152</v>
      </c>
      <c r="C1" t="s">
        <v>283</v>
      </c>
      <c r="D1" t="s">
        <v>284</v>
      </c>
      <c r="E1" t="s">
        <v>285</v>
      </c>
      <c r="H1" s="117"/>
    </row>
    <row r="2" spans="1:8">
      <c r="A2" s="116" t="s">
        <v>286</v>
      </c>
      <c r="B2" t="s">
        <v>287</v>
      </c>
      <c r="C2" s="117">
        <v>0.04</v>
      </c>
      <c r="D2" s="117">
        <f>ROUND((1+'Indicadores Financeiros'!$F$8)*(1+'Indicadores Financeiros'!$F$9)/(1-'Indicadores Financeiros'!$F$10-'Indicadores Financeiros'!$F$11-Tabela3[[#This Row],[ISS]])-1,4)</f>
        <v>0.23760000000000001</v>
      </c>
      <c r="G2" s="151"/>
      <c r="H2" s="117"/>
    </row>
    <row r="3" spans="1:8">
      <c r="A3" s="116" t="s">
        <v>288</v>
      </c>
      <c r="B3" t="s">
        <v>289</v>
      </c>
      <c r="C3" s="117">
        <v>0.03</v>
      </c>
      <c r="D3" s="117">
        <f>ROUND((1+'Indicadores Financeiros'!$F$8)*(1+'Indicadores Financeiros'!$F$9)/(1-'Indicadores Financeiros'!$F$10-'Indicadores Financeiros'!$F$11-Tabela3[[#This Row],[ISS]])-1,4)</f>
        <v>0.22439999999999999</v>
      </c>
      <c r="E3" t="s">
        <v>290</v>
      </c>
      <c r="G3" s="151"/>
      <c r="H3" s="117"/>
    </row>
    <row r="4" spans="1:8">
      <c r="A4" s="116" t="s">
        <v>288</v>
      </c>
      <c r="B4" t="s">
        <v>291</v>
      </c>
      <c r="C4" s="117">
        <v>0.03</v>
      </c>
      <c r="D4" s="117">
        <f>ROUND((1+'Indicadores Financeiros'!$F$8)*(1+'Indicadores Financeiros'!$F$9)/(1-'Indicadores Financeiros'!$F$10-'Indicadores Financeiros'!$F$11-Tabela3[[#This Row],[ISS]])-1,4)</f>
        <v>0.22439999999999999</v>
      </c>
      <c r="G4" s="151"/>
      <c r="H4" s="117"/>
    </row>
    <row r="5" spans="1:8">
      <c r="A5" s="116" t="s">
        <v>292</v>
      </c>
      <c r="B5" t="s">
        <v>293</v>
      </c>
      <c r="C5" s="117">
        <v>0.02</v>
      </c>
      <c r="D5" s="117">
        <f>ROUND((1+'Indicadores Financeiros'!$F$8)*(1+'Indicadores Financeiros'!$F$9)/(1-'Indicadores Financeiros'!$F$10-'Indicadores Financeiros'!$F$11-Tabela3[[#This Row],[ISS]])-1,4)</f>
        <v>0.2114</v>
      </c>
      <c r="G5" s="151"/>
      <c r="H5" s="117"/>
    </row>
    <row r="6" spans="1:8">
      <c r="A6" s="116" t="s">
        <v>294</v>
      </c>
      <c r="B6" t="s">
        <v>295</v>
      </c>
      <c r="C6" s="117">
        <v>0.04</v>
      </c>
      <c r="D6" s="117">
        <f>ROUND((1+'Indicadores Financeiros'!$F$8)*(1+'Indicadores Financeiros'!$F$9)/(1-'Indicadores Financeiros'!$F$10-'Indicadores Financeiros'!$F$11-Tabela3[[#This Row],[ISS]])-1,4)</f>
        <v>0.23760000000000001</v>
      </c>
      <c r="G6" s="151"/>
      <c r="H6" s="117"/>
    </row>
    <row r="7" spans="1:8">
      <c r="A7" s="116" t="s">
        <v>288</v>
      </c>
      <c r="B7" t="s">
        <v>296</v>
      </c>
      <c r="C7" s="117">
        <v>0.03</v>
      </c>
      <c r="D7" s="117">
        <f>ROUND((1+'Indicadores Financeiros'!$F$8)*(1+'Indicadores Financeiros'!$F$9)/(1-'Indicadores Financeiros'!$F$10-'Indicadores Financeiros'!$F$11-Tabela3[[#This Row],[ISS]])-1,4)</f>
        <v>0.22439999999999999</v>
      </c>
      <c r="G7" s="151"/>
      <c r="H7" s="117"/>
    </row>
    <row r="8" spans="1:8">
      <c r="A8" s="116" t="s">
        <v>294</v>
      </c>
      <c r="B8" t="s">
        <v>297</v>
      </c>
      <c r="C8" s="117">
        <v>0.03</v>
      </c>
      <c r="D8" s="117">
        <f>ROUND((1+'Indicadores Financeiros'!$F$8)*(1+'Indicadores Financeiros'!$F$9)/(1-'Indicadores Financeiros'!$F$10-'Indicadores Financeiros'!$F$11-Tabela3[[#This Row],[ISS]])-1,4)</f>
        <v>0.22439999999999999</v>
      </c>
      <c r="G8" s="151"/>
      <c r="H8" s="117"/>
    </row>
    <row r="9" spans="1:8">
      <c r="A9" s="116" t="s">
        <v>288</v>
      </c>
      <c r="B9" t="s">
        <v>298</v>
      </c>
      <c r="C9" s="117">
        <v>0.05</v>
      </c>
      <c r="D9" s="117">
        <f>ROUND((1+'Indicadores Financeiros'!$F$8)*(1+'Indicadores Financeiros'!$F$9)/(1-'Indicadores Financeiros'!$F$10-'Indicadores Financeiros'!$F$11-Tabela3[[#This Row],[ISS]])-1,4)</f>
        <v>0.25119999999999998</v>
      </c>
      <c r="G9" s="151"/>
      <c r="H9" s="117"/>
    </row>
    <row r="10" spans="1:8">
      <c r="A10" s="116" t="s">
        <v>299</v>
      </c>
      <c r="B10" t="s">
        <v>300</v>
      </c>
      <c r="C10" s="117">
        <v>0.03</v>
      </c>
      <c r="D10" s="117">
        <f>ROUND((1+'Indicadores Financeiros'!$F$8)*(1+'Indicadores Financeiros'!$F$9)/(1-'Indicadores Financeiros'!$F$10-'Indicadores Financeiros'!$F$11-Tabela3[[#This Row],[ISS]])-1,4)</f>
        <v>0.22439999999999999</v>
      </c>
      <c r="G10" s="151"/>
      <c r="H10" s="117"/>
    </row>
    <row r="11" spans="1:8">
      <c r="A11" s="116" t="s">
        <v>301</v>
      </c>
      <c r="B11" t="s">
        <v>302</v>
      </c>
      <c r="C11" s="117">
        <v>0.02</v>
      </c>
      <c r="D11" s="117">
        <f>ROUND((1+'Indicadores Financeiros'!$F$8)*(1+'Indicadores Financeiros'!$F$9)/(1-'Indicadores Financeiros'!$F$10-'Indicadores Financeiros'!$F$11-Tabela3[[#This Row],[ISS]])-1,4)</f>
        <v>0.2114</v>
      </c>
      <c r="G11" s="151"/>
      <c r="H11" s="117"/>
    </row>
    <row r="12" spans="1:8">
      <c r="A12" s="116" t="s">
        <v>303</v>
      </c>
      <c r="B12" t="s">
        <v>304</v>
      </c>
      <c r="C12" s="117">
        <v>0.05</v>
      </c>
      <c r="D12" s="117">
        <f>ROUND((1+'Indicadores Financeiros'!$F$8)*(1+'Indicadores Financeiros'!$F$9)/(1-'Indicadores Financeiros'!$F$10-'Indicadores Financeiros'!$F$11-Tabela3[[#This Row],[ISS]])-1,4)</f>
        <v>0.25119999999999998</v>
      </c>
      <c r="G12" s="151"/>
      <c r="H12" s="117"/>
    </row>
    <row r="13" spans="1:8">
      <c r="A13" s="116" t="s">
        <v>301</v>
      </c>
      <c r="B13" t="s">
        <v>305</v>
      </c>
      <c r="C13" s="117">
        <v>0.05</v>
      </c>
      <c r="D13" s="117">
        <f>ROUND((1+'Indicadores Financeiros'!$F$8)*(1+'Indicadores Financeiros'!$F$9)/(1-'Indicadores Financeiros'!$F$10-'Indicadores Financeiros'!$F$11-Tabela3[[#This Row],[ISS]])-1,4)</f>
        <v>0.25119999999999998</v>
      </c>
      <c r="G13" s="151"/>
      <c r="H13" s="117"/>
    </row>
    <row r="14" spans="1:8">
      <c r="A14" s="116" t="s">
        <v>299</v>
      </c>
      <c r="B14" t="s">
        <v>306</v>
      </c>
      <c r="C14" s="117">
        <v>0.04</v>
      </c>
      <c r="D14" s="117">
        <f>ROUND((1+'Indicadores Financeiros'!$F$8)*(1+'Indicadores Financeiros'!$F$9)/(1-'Indicadores Financeiros'!$F$10-'Indicadores Financeiros'!$F$11-Tabela3[[#This Row],[ISS]])-1,4)</f>
        <v>0.23760000000000001</v>
      </c>
      <c r="G14" s="151"/>
      <c r="H14" s="117"/>
    </row>
    <row r="15" spans="1:8">
      <c r="A15" s="116" t="s">
        <v>294</v>
      </c>
      <c r="B15" t="s">
        <v>307</v>
      </c>
      <c r="C15" s="117">
        <v>0.05</v>
      </c>
      <c r="D15" s="117">
        <f>ROUND((1+'Indicadores Financeiros'!$F$8)*(1+'Indicadores Financeiros'!$F$9)/(1-'Indicadores Financeiros'!$F$10-'Indicadores Financeiros'!$F$11-Tabela3[[#This Row],[ISS]])-1,4)</f>
        <v>0.25119999999999998</v>
      </c>
      <c r="G15" s="151"/>
      <c r="H15" s="117"/>
    </row>
    <row r="16" spans="1:8">
      <c r="A16" s="116" t="s">
        <v>288</v>
      </c>
      <c r="B16" t="s">
        <v>308</v>
      </c>
      <c r="C16" s="117">
        <v>0.05</v>
      </c>
      <c r="D16" s="117">
        <f>ROUND((1+'Indicadores Financeiros'!$F$8)*(1+'Indicadores Financeiros'!$F$9)/(1-'Indicadores Financeiros'!$F$10-'Indicadores Financeiros'!$F$11-Tabela3[[#This Row],[ISS]])-1,4)</f>
        <v>0.25119999999999998</v>
      </c>
      <c r="G16" s="151"/>
      <c r="H16" s="117"/>
    </row>
    <row r="17" spans="1:8">
      <c r="A17" s="116" t="s">
        <v>288</v>
      </c>
      <c r="B17" t="s">
        <v>309</v>
      </c>
      <c r="C17" s="117">
        <v>2.5000000000000001E-2</v>
      </c>
      <c r="D17" s="117">
        <f>ROUND((1+'Indicadores Financeiros'!$F$8)*(1+'Indicadores Financeiros'!$F$9)/(1-'Indicadores Financeiros'!$F$10-'Indicadores Financeiros'!$F$11-Tabela3[[#This Row],[ISS]])-1,4)</f>
        <v>0.21790000000000001</v>
      </c>
      <c r="G17" s="151"/>
      <c r="H17" s="117"/>
    </row>
    <row r="18" spans="1:8">
      <c r="A18" s="116" t="s">
        <v>310</v>
      </c>
      <c r="B18" t="s">
        <v>311</v>
      </c>
      <c r="C18" s="117">
        <v>0.05</v>
      </c>
      <c r="D18" s="117">
        <f>ROUND((1+'Indicadores Financeiros'!$F$8)*(1+'Indicadores Financeiros'!$F$9)/(1-'Indicadores Financeiros'!$F$10-'Indicadores Financeiros'!$F$11-Tabela3[[#This Row],[ISS]])-1,4)</f>
        <v>0.25119999999999998</v>
      </c>
      <c r="G18" s="151"/>
      <c r="H18" s="117"/>
    </row>
    <row r="19" spans="1:8">
      <c r="A19" s="116" t="s">
        <v>286</v>
      </c>
      <c r="B19" t="s">
        <v>312</v>
      </c>
      <c r="C19" s="117">
        <v>3.5000000000000003E-2</v>
      </c>
      <c r="D19" s="117">
        <f>ROUND((1+'Indicadores Financeiros'!$F$8)*(1+'Indicadores Financeiros'!$F$9)/(1-'Indicadores Financeiros'!$F$10-'Indicadores Financeiros'!$F$11-Tabela3[[#This Row],[ISS]])-1,4)</f>
        <v>0.23100000000000001</v>
      </c>
      <c r="G19" s="151"/>
      <c r="H19" s="117"/>
    </row>
    <row r="20" spans="1:8">
      <c r="A20" s="116" t="s">
        <v>288</v>
      </c>
      <c r="B20" t="s">
        <v>313</v>
      </c>
      <c r="C20" s="117">
        <v>0.05</v>
      </c>
      <c r="D20" s="117">
        <f>ROUND((1+'Indicadores Financeiros'!$F$8)*(1+'Indicadores Financeiros'!$F$9)/(1-'Indicadores Financeiros'!$F$10-'Indicadores Financeiros'!$F$11-Tabela3[[#This Row],[ISS]])-1,4)</f>
        <v>0.25119999999999998</v>
      </c>
      <c r="G20" s="151"/>
      <c r="H20" s="117"/>
    </row>
    <row r="21" spans="1:8">
      <c r="A21" s="116" t="s">
        <v>299</v>
      </c>
      <c r="B21" t="s">
        <v>314</v>
      </c>
      <c r="C21" s="117">
        <v>0.05</v>
      </c>
      <c r="D21" s="117">
        <f>ROUND((1+'Indicadores Financeiros'!$F$8)*(1+'Indicadores Financeiros'!$F$9)/(1-'Indicadores Financeiros'!$F$10-'Indicadores Financeiros'!$F$11-Tabela3[[#This Row],[ISS]])-1,4)</f>
        <v>0.25119999999999998</v>
      </c>
      <c r="G21" s="151"/>
      <c r="H21" s="117"/>
    </row>
    <row r="22" spans="1:8">
      <c r="A22" s="116" t="s">
        <v>292</v>
      </c>
      <c r="B22" t="s">
        <v>315</v>
      </c>
      <c r="C22" s="117">
        <v>0.03</v>
      </c>
      <c r="D22" s="117">
        <f>ROUND((1+'Indicadores Financeiros'!$F$8)*(1+'Indicadores Financeiros'!$F$9)/(1-'Indicadores Financeiros'!$F$10-'Indicadores Financeiros'!$F$11-Tabela3[[#This Row],[ISS]])-1,4)</f>
        <v>0.22439999999999999</v>
      </c>
      <c r="G22" s="151"/>
      <c r="H22" s="117"/>
    </row>
    <row r="23" spans="1:8">
      <c r="A23" s="116" t="s">
        <v>303</v>
      </c>
      <c r="B23" t="s">
        <v>316</v>
      </c>
      <c r="C23" s="117">
        <v>0.05</v>
      </c>
      <c r="D23" s="117">
        <f>ROUND((1+'Indicadores Financeiros'!$F$8)*(1+'Indicadores Financeiros'!$F$9)/(1-'Indicadores Financeiros'!$F$10-'Indicadores Financeiros'!$F$11-Tabela3[[#This Row],[ISS]])-1,4)</f>
        <v>0.25119999999999998</v>
      </c>
      <c r="G23" s="151"/>
      <c r="H23" s="117"/>
    </row>
    <row r="24" spans="1:8">
      <c r="A24" s="116" t="s">
        <v>292</v>
      </c>
      <c r="B24" t="s">
        <v>317</v>
      </c>
      <c r="C24" s="117">
        <v>0.02</v>
      </c>
      <c r="D24" s="117">
        <f>ROUND((1+'Indicadores Financeiros'!$F$8)*(1+'Indicadores Financeiros'!$F$9)/(1-'Indicadores Financeiros'!$F$10-'Indicadores Financeiros'!$F$11-Tabela3[[#This Row],[ISS]])-1,4)</f>
        <v>0.2114</v>
      </c>
      <c r="G24" s="151"/>
      <c r="H24" s="117"/>
    </row>
    <row r="25" spans="1:8">
      <c r="A25" s="116" t="s">
        <v>292</v>
      </c>
      <c r="B25" t="s">
        <v>318</v>
      </c>
      <c r="C25" s="117">
        <v>0.03</v>
      </c>
      <c r="D25" s="117">
        <f>ROUND((1+'Indicadores Financeiros'!$F$8)*(1+'Indicadores Financeiros'!$F$9)/(1-'Indicadores Financeiros'!$F$10-'Indicadores Financeiros'!$F$11-Tabela3[[#This Row],[ISS]])-1,4)</f>
        <v>0.22439999999999999</v>
      </c>
      <c r="G25" s="151"/>
      <c r="H25" s="117"/>
    </row>
    <row r="26" spans="1:8">
      <c r="A26" s="116" t="s">
        <v>319</v>
      </c>
      <c r="B26" t="s">
        <v>320</v>
      </c>
      <c r="C26" s="117">
        <v>0.03</v>
      </c>
      <c r="D26" s="117">
        <f>ROUND((1+'Indicadores Financeiros'!$F$8)*(1+'Indicadores Financeiros'!$F$9)/(1-'Indicadores Financeiros'!$F$10-'Indicadores Financeiros'!$F$11-Tabela3[[#This Row],[ISS]])-1,4)</f>
        <v>0.22439999999999999</v>
      </c>
      <c r="G26" s="151"/>
      <c r="H26" s="117"/>
    </row>
    <row r="27" spans="1:8">
      <c r="A27" s="116" t="s">
        <v>310</v>
      </c>
      <c r="B27" t="s">
        <v>321</v>
      </c>
      <c r="C27" s="117">
        <v>0.02</v>
      </c>
      <c r="D27" s="117">
        <f>ROUND((1+'Indicadores Financeiros'!$F$8)*(1+'Indicadores Financeiros'!$F$9)/(1-'Indicadores Financeiros'!$F$10-'Indicadores Financeiros'!$F$11-Tabela3[[#This Row],[ISS]])-1,4)</f>
        <v>0.2114</v>
      </c>
      <c r="G27" s="151"/>
      <c r="H27" s="117"/>
    </row>
    <row r="28" spans="1:8">
      <c r="A28" s="116" t="s">
        <v>286</v>
      </c>
      <c r="B28" t="s">
        <v>322</v>
      </c>
      <c r="C28" s="117">
        <v>0.03</v>
      </c>
      <c r="D28" s="117">
        <f>ROUND((1+'Indicadores Financeiros'!$F$8)*(1+'Indicadores Financeiros'!$F$9)/(1-'Indicadores Financeiros'!$F$10-'Indicadores Financeiros'!$F$11-Tabela3[[#This Row],[ISS]])-1,4)</f>
        <v>0.22439999999999999</v>
      </c>
      <c r="G28" s="151"/>
      <c r="H28" s="117"/>
    </row>
    <row r="29" spans="1:8">
      <c r="A29" s="116" t="s">
        <v>294</v>
      </c>
      <c r="B29" t="s">
        <v>323</v>
      </c>
      <c r="C29" s="117">
        <v>0.04</v>
      </c>
      <c r="D29" s="117">
        <f>ROUND((1+'Indicadores Financeiros'!$F$8)*(1+'Indicadores Financeiros'!$F$9)/(1-'Indicadores Financeiros'!$F$10-'Indicadores Financeiros'!$F$11-Tabela3[[#This Row],[ISS]])-1,4)</f>
        <v>0.23760000000000001</v>
      </c>
      <c r="G29" s="151"/>
      <c r="H29" s="117"/>
    </row>
    <row r="30" spans="1:8">
      <c r="A30" s="116" t="s">
        <v>292</v>
      </c>
      <c r="B30" t="s">
        <v>324</v>
      </c>
      <c r="C30" s="117">
        <v>0.02</v>
      </c>
      <c r="D30" s="117">
        <f>ROUND((1+'Indicadores Financeiros'!$F$8)*(1+'Indicadores Financeiros'!$F$9)/(1-'Indicadores Financeiros'!$F$10-'Indicadores Financeiros'!$F$11-Tabela3[[#This Row],[ISS]])-1,4)</f>
        <v>0.2114</v>
      </c>
      <c r="G30" s="151"/>
      <c r="H30" s="117"/>
    </row>
    <row r="31" spans="1:8">
      <c r="A31" s="116" t="s">
        <v>319</v>
      </c>
      <c r="B31" t="s">
        <v>325</v>
      </c>
      <c r="C31" s="117">
        <v>0.03</v>
      </c>
      <c r="D31" s="117">
        <f>ROUND((1+'Indicadores Financeiros'!$F$8)*(1+'Indicadores Financeiros'!$F$9)/(1-'Indicadores Financeiros'!$F$10-'Indicadores Financeiros'!$F$11-Tabela3[[#This Row],[ISS]])-1,4)</f>
        <v>0.22439999999999999</v>
      </c>
      <c r="G31" s="151"/>
      <c r="H31" s="117"/>
    </row>
    <row r="32" spans="1:8">
      <c r="A32" s="116" t="s">
        <v>326</v>
      </c>
      <c r="B32" t="s">
        <v>327</v>
      </c>
      <c r="C32" s="117">
        <v>0.03</v>
      </c>
      <c r="D32" s="117">
        <f>ROUND((1+'Indicadores Financeiros'!$F$8)*(1+'Indicadores Financeiros'!$F$9)/(1-'Indicadores Financeiros'!$F$10-'Indicadores Financeiros'!$F$11-Tabela3[[#This Row],[ISS]])-1,4)</f>
        <v>0.22439999999999999</v>
      </c>
      <c r="G32" s="151"/>
      <c r="H32" s="117"/>
    </row>
    <row r="33" spans="1:8">
      <c r="A33" s="116" t="s">
        <v>299</v>
      </c>
      <c r="B33" t="s">
        <v>328</v>
      </c>
      <c r="C33" s="117">
        <v>0.05</v>
      </c>
      <c r="D33" s="117">
        <f>ROUND((1+'Indicadores Financeiros'!$F$8)*(1+'Indicadores Financeiros'!$F$9)/(1-'Indicadores Financeiros'!$F$10-'Indicadores Financeiros'!$F$11-Tabela3[[#This Row],[ISS]])-1,4)</f>
        <v>0.25119999999999998</v>
      </c>
      <c r="G33" s="151"/>
      <c r="H33" s="117"/>
    </row>
    <row r="34" spans="1:8">
      <c r="A34" s="116" t="s">
        <v>299</v>
      </c>
      <c r="B34" t="s">
        <v>329</v>
      </c>
      <c r="C34" s="117">
        <v>0.04</v>
      </c>
      <c r="D34" s="117">
        <f>ROUND((1+'Indicadores Financeiros'!$F$8)*(1+'Indicadores Financeiros'!$F$9)/(1-'Indicadores Financeiros'!$F$10-'Indicadores Financeiros'!$F$11-Tabela3[[#This Row],[ISS]])-1,4)</f>
        <v>0.23760000000000001</v>
      </c>
      <c r="G34" s="151"/>
      <c r="H34" s="117"/>
    </row>
    <row r="35" spans="1:8">
      <c r="A35" s="116" t="s">
        <v>301</v>
      </c>
      <c r="B35" t="s">
        <v>330</v>
      </c>
      <c r="C35" s="117">
        <v>0.02</v>
      </c>
      <c r="D35" s="117">
        <f>ROUND((1+'Indicadores Financeiros'!$F$8)*(1+'Indicadores Financeiros'!$F$9)/(1-'Indicadores Financeiros'!$F$10-'Indicadores Financeiros'!$F$11-Tabela3[[#This Row],[ISS]])-1,4)</f>
        <v>0.2114</v>
      </c>
      <c r="G35" s="151"/>
      <c r="H35" s="117"/>
    </row>
    <row r="36" spans="1:8">
      <c r="A36" s="116" t="s">
        <v>294</v>
      </c>
      <c r="B36" t="s">
        <v>331</v>
      </c>
      <c r="C36" s="117">
        <v>0.05</v>
      </c>
      <c r="D36" s="117">
        <f>ROUND((1+'Indicadores Financeiros'!$F$8)*(1+'Indicadores Financeiros'!$F$9)/(1-'Indicadores Financeiros'!$F$10-'Indicadores Financeiros'!$F$11-Tabela3[[#This Row],[ISS]])-1,4)</f>
        <v>0.25119999999999998</v>
      </c>
      <c r="G36" s="151"/>
      <c r="H36" s="117"/>
    </row>
    <row r="37" spans="1:8">
      <c r="A37" s="116" t="s">
        <v>292</v>
      </c>
      <c r="B37" t="s">
        <v>332</v>
      </c>
      <c r="C37" s="117">
        <v>0.05</v>
      </c>
      <c r="D37" s="117">
        <f>ROUND((1+'Indicadores Financeiros'!$F$8)*(1+'Indicadores Financeiros'!$F$9)/(1-'Indicadores Financeiros'!$F$10-'Indicadores Financeiros'!$F$11-Tabela3[[#This Row],[ISS]])-1,4)</f>
        <v>0.25119999999999998</v>
      </c>
      <c r="G37" s="151"/>
      <c r="H37" s="117"/>
    </row>
    <row r="38" spans="1:8">
      <c r="A38" s="116" t="s">
        <v>288</v>
      </c>
      <c r="B38" t="s">
        <v>333</v>
      </c>
      <c r="C38" s="117">
        <v>0.03</v>
      </c>
      <c r="D38" s="117">
        <f>ROUND((1+'Indicadores Financeiros'!$F$8)*(1+'Indicadores Financeiros'!$F$9)/(1-'Indicadores Financeiros'!$F$10-'Indicadores Financeiros'!$F$11-Tabela3[[#This Row],[ISS]])-1,4)</f>
        <v>0.22439999999999999</v>
      </c>
      <c r="G38" s="151"/>
      <c r="H38" s="117"/>
    </row>
    <row r="39" spans="1:8">
      <c r="A39" s="116" t="s">
        <v>294</v>
      </c>
      <c r="B39" t="s">
        <v>334</v>
      </c>
      <c r="C39" s="117">
        <v>0.02</v>
      </c>
      <c r="D39" s="117">
        <f>ROUND((1+'Indicadores Financeiros'!$F$8)*(1+'Indicadores Financeiros'!$F$9)/(1-'Indicadores Financeiros'!$F$10-'Indicadores Financeiros'!$F$11-Tabela3[[#This Row],[ISS]])-1,4)</f>
        <v>0.2114</v>
      </c>
      <c r="G39" s="151"/>
      <c r="H39" s="117"/>
    </row>
    <row r="40" spans="1:8">
      <c r="A40" s="116" t="s">
        <v>288</v>
      </c>
      <c r="B40" t="s">
        <v>335</v>
      </c>
      <c r="C40" s="117">
        <v>0.05</v>
      </c>
      <c r="D40" s="117">
        <f>ROUND((1+'Indicadores Financeiros'!$F$8)*(1+'Indicadores Financeiros'!$F$9)/(1-'Indicadores Financeiros'!$F$10-'Indicadores Financeiros'!$F$11-Tabela3[[#This Row],[ISS]])-1,4)</f>
        <v>0.25119999999999998</v>
      </c>
      <c r="G40" s="151"/>
      <c r="H40" s="117"/>
    </row>
    <row r="41" spans="1:8">
      <c r="A41" s="116" t="s">
        <v>301</v>
      </c>
      <c r="B41" t="s">
        <v>336</v>
      </c>
      <c r="C41" s="117">
        <v>0.02</v>
      </c>
      <c r="D41" s="117">
        <f>ROUND((1+'Indicadores Financeiros'!$F$8)*(1+'Indicadores Financeiros'!$F$9)/(1-'Indicadores Financeiros'!$F$10-'Indicadores Financeiros'!$F$11-Tabela3[[#This Row],[ISS]])-1,4)</f>
        <v>0.2114</v>
      </c>
      <c r="G41" s="151"/>
      <c r="H41" s="117"/>
    </row>
    <row r="42" spans="1:8">
      <c r="A42" s="116" t="s">
        <v>299</v>
      </c>
      <c r="B42" t="s">
        <v>337</v>
      </c>
      <c r="C42" s="117">
        <v>0.02</v>
      </c>
      <c r="D42" s="117">
        <f>ROUND((1+'Indicadores Financeiros'!$F$8)*(1+'Indicadores Financeiros'!$F$9)/(1-'Indicadores Financeiros'!$F$10-'Indicadores Financeiros'!$F$11-Tabela3[[#This Row],[ISS]])-1,4)</f>
        <v>0.2114</v>
      </c>
      <c r="G42" s="151"/>
      <c r="H42" s="117"/>
    </row>
    <row r="43" spans="1:8">
      <c r="A43" s="116" t="s">
        <v>301</v>
      </c>
      <c r="B43" t="s">
        <v>338</v>
      </c>
      <c r="C43" s="117">
        <v>0.03</v>
      </c>
      <c r="D43" s="117">
        <f>ROUND((1+'Indicadores Financeiros'!$F$8)*(1+'Indicadores Financeiros'!$F$9)/(1-'Indicadores Financeiros'!$F$10-'Indicadores Financeiros'!$F$11-Tabela3[[#This Row],[ISS]])-1,4)</f>
        <v>0.22439999999999999</v>
      </c>
      <c r="G43" s="151"/>
      <c r="H43" s="117"/>
    </row>
    <row r="44" spans="1:8">
      <c r="A44" s="116" t="s">
        <v>303</v>
      </c>
      <c r="B44" t="s">
        <v>339</v>
      </c>
      <c r="C44" s="117">
        <v>0.03</v>
      </c>
      <c r="D44" s="117">
        <f>ROUND((1+'Indicadores Financeiros'!$F$8)*(1+'Indicadores Financeiros'!$F$9)/(1-'Indicadores Financeiros'!$F$10-'Indicadores Financeiros'!$F$11-Tabela3[[#This Row],[ISS]])-1,4)</f>
        <v>0.22439999999999999</v>
      </c>
      <c r="G44" s="151"/>
      <c r="H44" s="117"/>
    </row>
    <row r="45" spans="1:8">
      <c r="A45" s="116" t="s">
        <v>303</v>
      </c>
      <c r="B45" t="s">
        <v>340</v>
      </c>
      <c r="C45" s="117">
        <v>0.05</v>
      </c>
      <c r="D45" s="117">
        <f>ROUND((1+'Indicadores Financeiros'!$F$8)*(1+'Indicadores Financeiros'!$F$9)/(1-'Indicadores Financeiros'!$F$10-'Indicadores Financeiros'!$F$11-Tabela3[[#This Row],[ISS]])-1,4)</f>
        <v>0.25119999999999998</v>
      </c>
      <c r="G45" s="151"/>
      <c r="H45" s="117"/>
    </row>
    <row r="46" spans="1:8">
      <c r="A46" s="116" t="s">
        <v>294</v>
      </c>
      <c r="B46" t="s">
        <v>341</v>
      </c>
      <c r="C46" s="117">
        <v>0.02</v>
      </c>
      <c r="D46" s="117">
        <f>ROUND((1+'Indicadores Financeiros'!$F$8)*(1+'Indicadores Financeiros'!$F$9)/(1-'Indicadores Financeiros'!$F$10-'Indicadores Financeiros'!$F$11-Tabela3[[#This Row],[ISS]])-1,4)</f>
        <v>0.2114</v>
      </c>
      <c r="G46" s="151"/>
      <c r="H46" s="117"/>
    </row>
    <row r="47" spans="1:8">
      <c r="A47" s="116" t="s">
        <v>299</v>
      </c>
      <c r="B47" t="s">
        <v>342</v>
      </c>
      <c r="C47" s="117">
        <v>0.05</v>
      </c>
      <c r="D47" s="117">
        <f>ROUND((1+'Indicadores Financeiros'!$F$8)*(1+'Indicadores Financeiros'!$F$9)/(1-'Indicadores Financeiros'!$F$10-'Indicadores Financeiros'!$F$11-Tabela3[[#This Row],[ISS]])-1,4)</f>
        <v>0.25119999999999998</v>
      </c>
      <c r="G47" s="151"/>
      <c r="H47" s="117"/>
    </row>
    <row r="48" spans="1:8">
      <c r="A48" s="116" t="s">
        <v>288</v>
      </c>
      <c r="B48" t="s">
        <v>343</v>
      </c>
      <c r="C48" s="117">
        <v>0.05</v>
      </c>
      <c r="D48" s="117">
        <f>ROUND((1+'Indicadores Financeiros'!$F$8)*(1+'Indicadores Financeiros'!$F$9)/(1-'Indicadores Financeiros'!$F$10-'Indicadores Financeiros'!$F$11-Tabela3[[#This Row],[ISS]])-1,4)</f>
        <v>0.25119999999999998</v>
      </c>
      <c r="G48" s="151"/>
      <c r="H48" s="117"/>
    </row>
    <row r="49" spans="1:8">
      <c r="A49" s="116" t="s">
        <v>288</v>
      </c>
      <c r="B49" t="s">
        <v>344</v>
      </c>
      <c r="C49" s="117">
        <v>0.03</v>
      </c>
      <c r="D49" s="117">
        <f>ROUND((1+'Indicadores Financeiros'!$F$8)*(1+'Indicadores Financeiros'!$F$9)/(1-'Indicadores Financeiros'!$F$10-'Indicadores Financeiros'!$F$11-Tabela3[[#This Row],[ISS]])-1,4)</f>
        <v>0.22439999999999999</v>
      </c>
      <c r="G49" s="151"/>
      <c r="H49" s="117"/>
    </row>
    <row r="50" spans="1:8">
      <c r="A50" s="116" t="s">
        <v>294</v>
      </c>
      <c r="B50" t="s">
        <v>345</v>
      </c>
      <c r="C50" s="117">
        <v>0.03</v>
      </c>
      <c r="D50" s="117">
        <f>ROUND((1+'Indicadores Financeiros'!$F$8)*(1+'Indicadores Financeiros'!$F$9)/(1-'Indicadores Financeiros'!$F$10-'Indicadores Financeiros'!$F$11-Tabela3[[#This Row],[ISS]])-1,4)</f>
        <v>0.22439999999999999</v>
      </c>
      <c r="G50" s="151"/>
      <c r="H50" s="117"/>
    </row>
    <row r="51" spans="1:8">
      <c r="A51" s="116" t="s">
        <v>288</v>
      </c>
      <c r="B51" t="s">
        <v>346</v>
      </c>
      <c r="C51" s="117">
        <v>0.05</v>
      </c>
      <c r="D51" s="117">
        <f>ROUND((1+'Indicadores Financeiros'!$F$8)*(1+'Indicadores Financeiros'!$F$9)/(1-'Indicadores Financeiros'!$F$10-'Indicadores Financeiros'!$F$11-Tabela3[[#This Row],[ISS]])-1,4)</f>
        <v>0.25119999999999998</v>
      </c>
      <c r="G51" s="151"/>
      <c r="H51" s="117"/>
    </row>
    <row r="52" spans="1:8">
      <c r="A52" s="116" t="s">
        <v>288</v>
      </c>
      <c r="B52" t="s">
        <v>347</v>
      </c>
      <c r="C52" s="117">
        <v>0.03</v>
      </c>
      <c r="D52" s="117">
        <f>ROUND((1+'Indicadores Financeiros'!$F$8)*(1+'Indicadores Financeiros'!$F$9)/(1-'Indicadores Financeiros'!$F$10-'Indicadores Financeiros'!$F$11-Tabela3[[#This Row],[ISS]])-1,4)</f>
        <v>0.22439999999999999</v>
      </c>
      <c r="G52" s="151"/>
      <c r="H52" s="117"/>
    </row>
    <row r="53" spans="1:8">
      <c r="A53" s="116" t="s">
        <v>303</v>
      </c>
      <c r="B53" t="s">
        <v>348</v>
      </c>
      <c r="C53" s="117">
        <v>0.05</v>
      </c>
      <c r="D53" s="117">
        <f>ROUND((1+'Indicadores Financeiros'!$F$8)*(1+'Indicadores Financeiros'!$F$9)/(1-'Indicadores Financeiros'!$F$10-'Indicadores Financeiros'!$F$11-Tabela3[[#This Row],[ISS]])-1,4)</f>
        <v>0.25119999999999998</v>
      </c>
      <c r="G53" s="151"/>
      <c r="H53" s="117"/>
    </row>
    <row r="54" spans="1:8">
      <c r="A54" s="116" t="s">
        <v>326</v>
      </c>
      <c r="B54" t="s">
        <v>349</v>
      </c>
      <c r="C54" s="117">
        <v>0.05</v>
      </c>
      <c r="D54" s="117">
        <f>ROUND((1+'Indicadores Financeiros'!$F$8)*(1+'Indicadores Financeiros'!$F$9)/(1-'Indicadores Financeiros'!$F$10-'Indicadores Financeiros'!$F$11-Tabela3[[#This Row],[ISS]])-1,4)</f>
        <v>0.25119999999999998</v>
      </c>
      <c r="G54" s="151"/>
      <c r="H54" s="117"/>
    </row>
    <row r="55" spans="1:8">
      <c r="A55" s="116" t="s">
        <v>286</v>
      </c>
      <c r="B55" t="s">
        <v>350</v>
      </c>
      <c r="C55" s="117">
        <v>0.04</v>
      </c>
      <c r="D55" s="117">
        <f>ROUND((1+'Indicadores Financeiros'!$F$8)*(1+'Indicadores Financeiros'!$F$9)/(1-'Indicadores Financeiros'!$F$10-'Indicadores Financeiros'!$F$11-Tabela3[[#This Row],[ISS]])-1,4)</f>
        <v>0.23760000000000001</v>
      </c>
      <c r="G55" s="151"/>
      <c r="H55" s="117"/>
    </row>
    <row r="56" spans="1:8">
      <c r="A56" s="116" t="s">
        <v>301</v>
      </c>
      <c r="B56" t="s">
        <v>351</v>
      </c>
      <c r="C56" s="117">
        <v>3.5000000000000003E-2</v>
      </c>
      <c r="D56" s="117">
        <f>ROUND((1+'Indicadores Financeiros'!$F$8)*(1+'Indicadores Financeiros'!$F$9)/(1-'Indicadores Financeiros'!$F$10-'Indicadores Financeiros'!$F$11-Tabela3[[#This Row],[ISS]])-1,4)</f>
        <v>0.23100000000000001</v>
      </c>
      <c r="G56" s="151"/>
      <c r="H56" s="117"/>
    </row>
    <row r="57" spans="1:8">
      <c r="A57" s="116" t="s">
        <v>288</v>
      </c>
      <c r="B57" t="s">
        <v>352</v>
      </c>
      <c r="C57" s="117">
        <v>0.05</v>
      </c>
      <c r="D57" s="117">
        <f>ROUND((1+'Indicadores Financeiros'!$F$8)*(1+'Indicadores Financeiros'!$F$9)/(1-'Indicadores Financeiros'!$F$10-'Indicadores Financeiros'!$F$11-Tabela3[[#This Row],[ISS]])-1,4)</f>
        <v>0.25119999999999998</v>
      </c>
      <c r="G57" s="151"/>
      <c r="H57" s="117"/>
    </row>
    <row r="58" spans="1:8">
      <c r="A58" s="116" t="s">
        <v>303</v>
      </c>
      <c r="B58" t="s">
        <v>353</v>
      </c>
      <c r="C58" s="117">
        <v>0.03</v>
      </c>
      <c r="D58" s="117">
        <f>ROUND((1+'Indicadores Financeiros'!$F$8)*(1+'Indicadores Financeiros'!$F$9)/(1-'Indicadores Financeiros'!$F$10-'Indicadores Financeiros'!$F$11-Tabela3[[#This Row],[ISS]])-1,4)</f>
        <v>0.22439999999999999</v>
      </c>
      <c r="G58" s="151"/>
      <c r="H58" s="117"/>
    </row>
    <row r="59" spans="1:8">
      <c r="A59" s="116" t="s">
        <v>310</v>
      </c>
      <c r="B59" t="s">
        <v>354</v>
      </c>
      <c r="C59" s="117">
        <v>0.05</v>
      </c>
      <c r="D59" s="117">
        <f>ROUND((1+'Indicadores Financeiros'!$F$8)*(1+'Indicadores Financeiros'!$F$9)/(1-'Indicadores Financeiros'!$F$10-'Indicadores Financeiros'!$F$11-Tabela3[[#This Row],[ISS]])-1,4)</f>
        <v>0.25119999999999998</v>
      </c>
      <c r="G59" s="151"/>
      <c r="H59" s="117"/>
    </row>
    <row r="60" spans="1:8">
      <c r="A60" s="116" t="s">
        <v>319</v>
      </c>
      <c r="B60" t="s">
        <v>355</v>
      </c>
      <c r="C60" s="117">
        <v>0.03</v>
      </c>
      <c r="D60" s="117">
        <f>ROUND((1+'Indicadores Financeiros'!$F$8)*(1+'Indicadores Financeiros'!$F$9)/(1-'Indicadores Financeiros'!$F$10-'Indicadores Financeiros'!$F$11-Tabela3[[#This Row],[ISS]])-1,4)</f>
        <v>0.22439999999999999</v>
      </c>
      <c r="G60" s="151"/>
      <c r="H60" s="117"/>
    </row>
    <row r="61" spans="1:8">
      <c r="A61" s="116" t="s">
        <v>294</v>
      </c>
      <c r="B61" t="s">
        <v>356</v>
      </c>
      <c r="C61" s="117">
        <v>0.05</v>
      </c>
      <c r="D61" s="117">
        <f>ROUND((1+'Indicadores Financeiros'!$F$8)*(1+'Indicadores Financeiros'!$F$9)/(1-'Indicadores Financeiros'!$F$10-'Indicadores Financeiros'!$F$11-Tabela3[[#This Row],[ISS]])-1,4)</f>
        <v>0.25119999999999998</v>
      </c>
      <c r="G61" s="151"/>
      <c r="H61" s="117"/>
    </row>
    <row r="62" spans="1:8">
      <c r="A62" s="116" t="s">
        <v>319</v>
      </c>
      <c r="B62" t="s">
        <v>357</v>
      </c>
      <c r="C62" s="117">
        <v>0.04</v>
      </c>
      <c r="D62" s="117">
        <f>ROUND((1+'Indicadores Financeiros'!$F$8)*(1+'Indicadores Financeiros'!$F$9)/(1-'Indicadores Financeiros'!$F$10-'Indicadores Financeiros'!$F$11-Tabela3[[#This Row],[ISS]])-1,4)</f>
        <v>0.23760000000000001</v>
      </c>
      <c r="G62" s="151"/>
      <c r="H62" s="117"/>
    </row>
    <row r="63" spans="1:8">
      <c r="A63" s="116" t="s">
        <v>292</v>
      </c>
      <c r="B63" t="s">
        <v>358</v>
      </c>
      <c r="C63" s="117">
        <v>0.05</v>
      </c>
      <c r="D63" s="117">
        <f>ROUND((1+'Indicadores Financeiros'!$F$8)*(1+'Indicadores Financeiros'!$F$9)/(1-'Indicadores Financeiros'!$F$10-'Indicadores Financeiros'!$F$11-Tabela3[[#This Row],[ISS]])-1,4)</f>
        <v>0.25119999999999998</v>
      </c>
      <c r="G63" s="151"/>
      <c r="H63" s="117"/>
    </row>
    <row r="64" spans="1:8">
      <c r="A64" s="116" t="s">
        <v>288</v>
      </c>
      <c r="B64" t="s">
        <v>359</v>
      </c>
      <c r="C64" s="117">
        <v>0.02</v>
      </c>
      <c r="D64" s="117">
        <f>ROUND((1+'Indicadores Financeiros'!$F$8)*(1+'Indicadores Financeiros'!$F$9)/(1-'Indicadores Financeiros'!$F$10-'Indicadores Financeiros'!$F$11-Tabela3[[#This Row],[ISS]])-1,4)</f>
        <v>0.2114</v>
      </c>
      <c r="G64" s="151"/>
      <c r="H64" s="117"/>
    </row>
    <row r="65" spans="1:8">
      <c r="A65" s="116" t="s">
        <v>301</v>
      </c>
      <c r="B65" t="s">
        <v>360</v>
      </c>
      <c r="C65" s="117">
        <v>0.03</v>
      </c>
      <c r="D65" s="117">
        <f>ROUND((1+'Indicadores Financeiros'!$F$8)*(1+'Indicadores Financeiros'!$F$9)/(1-'Indicadores Financeiros'!$F$10-'Indicadores Financeiros'!$F$11-Tabela3[[#This Row],[ISS]])-1,4)</f>
        <v>0.22439999999999999</v>
      </c>
      <c r="E65" t="s">
        <v>361</v>
      </c>
      <c r="G65" s="151"/>
      <c r="H65" s="117"/>
    </row>
    <row r="66" spans="1:8">
      <c r="A66" s="116" t="s">
        <v>292</v>
      </c>
      <c r="B66" t="s">
        <v>362</v>
      </c>
      <c r="C66" s="117">
        <v>0.05</v>
      </c>
      <c r="D66" s="117">
        <f>ROUND((1+'Indicadores Financeiros'!$F$8)*(1+'Indicadores Financeiros'!$F$9)/(1-'Indicadores Financeiros'!$F$10-'Indicadores Financeiros'!$F$11-Tabela3[[#This Row],[ISS]])-1,4)</f>
        <v>0.25119999999999998</v>
      </c>
      <c r="G66" s="151"/>
      <c r="H66" s="117"/>
    </row>
    <row r="67" spans="1:8">
      <c r="A67" s="116" t="s">
        <v>319</v>
      </c>
      <c r="B67" t="s">
        <v>363</v>
      </c>
      <c r="C67" s="117">
        <v>0.02</v>
      </c>
      <c r="D67" s="117">
        <f>ROUND((1+'Indicadores Financeiros'!$F$8)*(1+'Indicadores Financeiros'!$F$9)/(1-'Indicadores Financeiros'!$F$10-'Indicadores Financeiros'!$F$11-Tabela3[[#This Row],[ISS]])-1,4)</f>
        <v>0.2114</v>
      </c>
      <c r="G67" s="151"/>
      <c r="H67" s="117"/>
    </row>
    <row r="68" spans="1:8">
      <c r="A68" s="116" t="s">
        <v>288</v>
      </c>
      <c r="B68" t="s">
        <v>364</v>
      </c>
      <c r="C68" s="117">
        <v>0.05</v>
      </c>
      <c r="D68" s="117">
        <f>ROUND((1+'Indicadores Financeiros'!$F$8)*(1+'Indicadores Financeiros'!$F$9)/(1-'Indicadores Financeiros'!$F$10-'Indicadores Financeiros'!$F$11-Tabela3[[#This Row],[ISS]])-1,4)</f>
        <v>0.25119999999999998</v>
      </c>
      <c r="G68" s="151"/>
      <c r="H68" s="117"/>
    </row>
    <row r="69" spans="1:8">
      <c r="A69" s="116" t="s">
        <v>292</v>
      </c>
      <c r="B69" t="s">
        <v>365</v>
      </c>
      <c r="C69" s="117">
        <v>0.05</v>
      </c>
      <c r="D69" s="117">
        <f>ROUND((1+'Indicadores Financeiros'!$F$8)*(1+'Indicadores Financeiros'!$F$9)/(1-'Indicadores Financeiros'!$F$10-'Indicadores Financeiros'!$F$11-Tabela3[[#This Row],[ISS]])-1,4)</f>
        <v>0.25119999999999998</v>
      </c>
      <c r="G69" s="151"/>
      <c r="H69" s="117"/>
    </row>
    <row r="70" spans="1:8">
      <c r="A70" s="116" t="s">
        <v>288</v>
      </c>
      <c r="B70" t="s">
        <v>366</v>
      </c>
      <c r="C70" s="117">
        <v>0.04</v>
      </c>
      <c r="D70" s="117">
        <f>ROUND((1+'Indicadores Financeiros'!$F$8)*(1+'Indicadores Financeiros'!$F$9)/(1-'Indicadores Financeiros'!$F$10-'Indicadores Financeiros'!$F$11-Tabela3[[#This Row],[ISS]])-1,4)</f>
        <v>0.23760000000000001</v>
      </c>
      <c r="G70" s="151"/>
      <c r="H70" s="117"/>
    </row>
    <row r="71" spans="1:8">
      <c r="A71" s="116" t="s">
        <v>288</v>
      </c>
      <c r="B71" t="s">
        <v>367</v>
      </c>
      <c r="C71" s="117">
        <v>0.03</v>
      </c>
      <c r="D71" s="117">
        <f>ROUND((1+'Indicadores Financeiros'!$F$8)*(1+'Indicadores Financeiros'!$F$9)/(1-'Indicadores Financeiros'!$F$10-'Indicadores Financeiros'!$F$11-Tabela3[[#This Row],[ISS]])-1,4)</f>
        <v>0.22439999999999999</v>
      </c>
      <c r="G71" s="151"/>
      <c r="H71" s="117"/>
    </row>
    <row r="72" spans="1:8">
      <c r="A72" s="116" t="s">
        <v>310</v>
      </c>
      <c r="B72" t="s">
        <v>368</v>
      </c>
      <c r="C72" s="117">
        <v>0.05</v>
      </c>
      <c r="D72" s="117">
        <f>ROUND((1+'Indicadores Financeiros'!$F$8)*(1+'Indicadores Financeiros'!$F$9)/(1-'Indicadores Financeiros'!$F$10-'Indicadores Financeiros'!$F$11-Tabela3[[#This Row],[ISS]])-1,4)</f>
        <v>0.25119999999999998</v>
      </c>
      <c r="G72" s="151"/>
      <c r="H72" s="117"/>
    </row>
    <row r="73" spans="1:8">
      <c r="A73" s="116" t="s">
        <v>294</v>
      </c>
      <c r="B73" t="s">
        <v>369</v>
      </c>
      <c r="C73" s="117">
        <v>0.05</v>
      </c>
      <c r="D73" s="117">
        <f>ROUND((1+'Indicadores Financeiros'!$F$8)*(1+'Indicadores Financeiros'!$F$9)/(1-'Indicadores Financeiros'!$F$10-'Indicadores Financeiros'!$F$11-Tabela3[[#This Row],[ISS]])-1,4)</f>
        <v>0.25119999999999998</v>
      </c>
      <c r="G73" s="151"/>
      <c r="H73" s="117"/>
    </row>
    <row r="74" spans="1:8">
      <c r="A74" s="116" t="s">
        <v>303</v>
      </c>
      <c r="B74" t="s">
        <v>370</v>
      </c>
      <c r="C74" s="117">
        <v>0.03</v>
      </c>
      <c r="D74" s="117">
        <f>ROUND((1+'Indicadores Financeiros'!$F$8)*(1+'Indicadores Financeiros'!$F$9)/(1-'Indicadores Financeiros'!$F$10-'Indicadores Financeiros'!$F$11-Tabela3[[#This Row],[ISS]])-1,4)</f>
        <v>0.22439999999999999</v>
      </c>
      <c r="G74" s="151"/>
      <c r="H74" s="117"/>
    </row>
    <row r="75" spans="1:8">
      <c r="A75" s="116" t="s">
        <v>326</v>
      </c>
      <c r="B75" t="s">
        <v>371</v>
      </c>
      <c r="C75" s="117">
        <v>0.05</v>
      </c>
      <c r="D75" s="117">
        <f>ROUND((1+'Indicadores Financeiros'!$F$8)*(1+'Indicadores Financeiros'!$F$9)/(1-'Indicadores Financeiros'!$F$10-'Indicadores Financeiros'!$F$11-Tabela3[[#This Row],[ISS]])-1,4)</f>
        <v>0.25119999999999998</v>
      </c>
      <c r="G75" s="151"/>
      <c r="H75" s="117"/>
    </row>
    <row r="76" spans="1:8">
      <c r="A76" s="116" t="s">
        <v>303</v>
      </c>
      <c r="B76" t="s">
        <v>372</v>
      </c>
      <c r="C76" s="117">
        <v>0.03</v>
      </c>
      <c r="D76" s="117">
        <f>ROUND((1+'Indicadores Financeiros'!$F$8)*(1+'Indicadores Financeiros'!$F$9)/(1-'Indicadores Financeiros'!$F$10-'Indicadores Financeiros'!$F$11-Tabela3[[#This Row],[ISS]])-1,4)</f>
        <v>0.22439999999999999</v>
      </c>
      <c r="G76" s="151"/>
      <c r="H76" s="117"/>
    </row>
    <row r="77" spans="1:8">
      <c r="A77" s="116" t="s">
        <v>294</v>
      </c>
      <c r="B77" t="s">
        <v>373</v>
      </c>
      <c r="C77" s="117">
        <v>0.02</v>
      </c>
      <c r="D77" s="117">
        <f>ROUND((1+'Indicadores Financeiros'!$F$8)*(1+'Indicadores Financeiros'!$F$9)/(1-'Indicadores Financeiros'!$F$10-'Indicadores Financeiros'!$F$11-Tabela3[[#This Row],[ISS]])-1,4)</f>
        <v>0.2114</v>
      </c>
      <c r="G77" s="151"/>
      <c r="H77" s="117"/>
    </row>
    <row r="78" spans="1:8">
      <c r="A78" s="116" t="s">
        <v>310</v>
      </c>
      <c r="B78" t="s">
        <v>374</v>
      </c>
      <c r="C78" s="117">
        <v>0.03</v>
      </c>
      <c r="D78" s="117">
        <f>ROUND((1+'Indicadores Financeiros'!$F$8)*(1+'Indicadores Financeiros'!$F$9)/(1-'Indicadores Financeiros'!$F$10-'Indicadores Financeiros'!$F$11-Tabela3[[#This Row],[ISS]])-1,4)</f>
        <v>0.22439999999999999</v>
      </c>
      <c r="G78" s="151"/>
      <c r="H78" s="117"/>
    </row>
    <row r="79" spans="1:8">
      <c r="A79" s="116" t="s">
        <v>292</v>
      </c>
      <c r="B79" t="s">
        <v>375</v>
      </c>
      <c r="C79" s="117">
        <v>0.02</v>
      </c>
      <c r="D79" s="117">
        <f>ROUND((1+'Indicadores Financeiros'!$F$8)*(1+'Indicadores Financeiros'!$F$9)/(1-'Indicadores Financeiros'!$F$10-'Indicadores Financeiros'!$F$11-Tabela3[[#This Row],[ISS]])-1,4)</f>
        <v>0.2114</v>
      </c>
      <c r="G79" s="151"/>
      <c r="H79" s="117"/>
    </row>
    <row r="80" spans="1:8">
      <c r="A80" s="116" t="s">
        <v>286</v>
      </c>
      <c r="B80" t="s">
        <v>376</v>
      </c>
      <c r="C80" s="117">
        <v>0.05</v>
      </c>
      <c r="D80" s="117">
        <f>ROUND((1+'Indicadores Financeiros'!$F$8)*(1+'Indicadores Financeiros'!$F$9)/(1-'Indicadores Financeiros'!$F$10-'Indicadores Financeiros'!$F$11-Tabela3[[#This Row],[ISS]])-1,4)</f>
        <v>0.25119999999999998</v>
      </c>
      <c r="G80" s="151"/>
      <c r="H80" s="117"/>
    </row>
    <row r="81" spans="1:8">
      <c r="A81" s="116" t="s">
        <v>292</v>
      </c>
      <c r="B81" t="s">
        <v>377</v>
      </c>
      <c r="C81" s="117">
        <v>0.02</v>
      </c>
      <c r="D81" s="117">
        <f>ROUND((1+'Indicadores Financeiros'!$F$8)*(1+'Indicadores Financeiros'!$F$9)/(1-'Indicadores Financeiros'!$F$10-'Indicadores Financeiros'!$F$11-Tabela3[[#This Row],[ISS]])-1,4)</f>
        <v>0.2114</v>
      </c>
      <c r="G81" s="151"/>
      <c r="H81" s="117"/>
    </row>
    <row r="82" spans="1:8">
      <c r="A82" s="116" t="s">
        <v>326</v>
      </c>
      <c r="B82" t="s">
        <v>378</v>
      </c>
      <c r="C82" s="117">
        <v>0.03</v>
      </c>
      <c r="D82" s="117">
        <f>ROUND((1+'Indicadores Financeiros'!$F$8)*(1+'Indicadores Financeiros'!$F$9)/(1-'Indicadores Financeiros'!$F$10-'Indicadores Financeiros'!$F$11-Tabela3[[#This Row],[ISS]])-1,4)</f>
        <v>0.22439999999999999</v>
      </c>
      <c r="G82" s="151"/>
      <c r="H82" s="117"/>
    </row>
    <row r="83" spans="1:8">
      <c r="A83" s="116" t="s">
        <v>310</v>
      </c>
      <c r="B83" t="s">
        <v>379</v>
      </c>
      <c r="C83" s="117">
        <v>0.05</v>
      </c>
      <c r="D83" s="117">
        <f>ROUND((1+'Indicadores Financeiros'!$F$8)*(1+'Indicadores Financeiros'!$F$9)/(1-'Indicadores Financeiros'!$F$10-'Indicadores Financeiros'!$F$11-Tabela3[[#This Row],[ISS]])-1,4)</f>
        <v>0.25119999999999998</v>
      </c>
      <c r="G83" s="151"/>
      <c r="H83" s="117"/>
    </row>
    <row r="84" spans="1:8">
      <c r="A84" s="116" t="s">
        <v>310</v>
      </c>
      <c r="B84" t="s">
        <v>380</v>
      </c>
      <c r="C84" s="117">
        <v>0.02</v>
      </c>
      <c r="D84" s="117">
        <f>ROUND((1+'Indicadores Financeiros'!$F$8)*(1+'Indicadores Financeiros'!$F$9)/(1-'Indicadores Financeiros'!$F$10-'Indicadores Financeiros'!$F$11-Tabela3[[#This Row],[ISS]])-1,4)</f>
        <v>0.2114</v>
      </c>
      <c r="G84" s="151"/>
      <c r="H84" s="117"/>
    </row>
    <row r="85" spans="1:8">
      <c r="A85" s="116" t="s">
        <v>288</v>
      </c>
      <c r="B85" t="s">
        <v>381</v>
      </c>
      <c r="C85" s="117">
        <v>0.03</v>
      </c>
      <c r="D85" s="117">
        <f>ROUND((1+'Indicadores Financeiros'!$F$8)*(1+'Indicadores Financeiros'!$F$9)/(1-'Indicadores Financeiros'!$F$10-'Indicadores Financeiros'!$F$11-Tabela3[[#This Row],[ISS]])-1,4)</f>
        <v>0.22439999999999999</v>
      </c>
      <c r="G85" s="151"/>
      <c r="H85" s="117"/>
    </row>
    <row r="86" spans="1:8">
      <c r="A86" s="116" t="s">
        <v>319</v>
      </c>
      <c r="B86" t="s">
        <v>382</v>
      </c>
      <c r="C86" s="117">
        <v>0.03</v>
      </c>
      <c r="D86" s="117">
        <f>ROUND((1+'Indicadores Financeiros'!$F$8)*(1+'Indicadores Financeiros'!$F$9)/(1-'Indicadores Financeiros'!$F$10-'Indicadores Financeiros'!$F$11-Tabela3[[#This Row],[ISS]])-1,4)</f>
        <v>0.22439999999999999</v>
      </c>
      <c r="G86" s="151"/>
      <c r="H86" s="117"/>
    </row>
    <row r="87" spans="1:8">
      <c r="A87" s="116" t="s">
        <v>292</v>
      </c>
      <c r="B87" t="s">
        <v>383</v>
      </c>
      <c r="C87" s="117">
        <v>0.03</v>
      </c>
      <c r="D87" s="117">
        <f>ROUND((1+'Indicadores Financeiros'!$F$8)*(1+'Indicadores Financeiros'!$F$9)/(1-'Indicadores Financeiros'!$F$10-'Indicadores Financeiros'!$F$11-Tabela3[[#This Row],[ISS]])-1,4)</f>
        <v>0.22439999999999999</v>
      </c>
      <c r="G87" s="151"/>
      <c r="H87" s="117"/>
    </row>
    <row r="88" spans="1:8">
      <c r="A88" s="116" t="s">
        <v>319</v>
      </c>
      <c r="B88" t="s">
        <v>384</v>
      </c>
      <c r="C88" s="117">
        <v>3.5000000000000003E-2</v>
      </c>
      <c r="D88" s="117">
        <f>ROUND((1+'Indicadores Financeiros'!$F$8)*(1+'Indicadores Financeiros'!$F$9)/(1-'Indicadores Financeiros'!$F$10-'Indicadores Financeiros'!$F$11-Tabela3[[#This Row],[ISS]])-1,4)</f>
        <v>0.23100000000000001</v>
      </c>
      <c r="G88" s="151"/>
      <c r="H88" s="117"/>
    </row>
    <row r="89" spans="1:8">
      <c r="A89" s="116" t="s">
        <v>310</v>
      </c>
      <c r="B89" t="s">
        <v>385</v>
      </c>
      <c r="C89" s="117">
        <v>0.02</v>
      </c>
      <c r="D89" s="117">
        <f>ROUND((1+'Indicadores Financeiros'!$F$8)*(1+'Indicadores Financeiros'!$F$9)/(1-'Indicadores Financeiros'!$F$10-'Indicadores Financeiros'!$F$11-Tabela3[[#This Row],[ISS]])-1,4)</f>
        <v>0.2114</v>
      </c>
      <c r="G89" s="151"/>
      <c r="H89" s="117"/>
    </row>
    <row r="90" spans="1:8">
      <c r="A90" s="116" t="s">
        <v>286</v>
      </c>
      <c r="B90" t="s">
        <v>386</v>
      </c>
      <c r="C90" s="117">
        <v>0.04</v>
      </c>
      <c r="D90" s="117">
        <f>ROUND((1+'Indicadores Financeiros'!$F$8)*(1+'Indicadores Financeiros'!$F$9)/(1-'Indicadores Financeiros'!$F$10-'Indicadores Financeiros'!$F$11-Tabela3[[#This Row],[ISS]])-1,4)</f>
        <v>0.23760000000000001</v>
      </c>
      <c r="G90" s="151"/>
      <c r="H90" s="117"/>
    </row>
    <row r="91" spans="1:8">
      <c r="A91" s="116" t="s">
        <v>294</v>
      </c>
      <c r="B91" t="s">
        <v>387</v>
      </c>
      <c r="C91" s="117">
        <v>0.05</v>
      </c>
      <c r="D91" s="117">
        <f>ROUND((1+'Indicadores Financeiros'!$F$8)*(1+'Indicadores Financeiros'!$F$9)/(1-'Indicadores Financeiros'!$F$10-'Indicadores Financeiros'!$F$11-Tabela3[[#This Row],[ISS]])-1,4)</f>
        <v>0.25119999999999998</v>
      </c>
      <c r="G91" s="151"/>
      <c r="H91" s="117"/>
    </row>
    <row r="92" spans="1:8">
      <c r="A92" s="116" t="s">
        <v>288</v>
      </c>
      <c r="B92" t="s">
        <v>388</v>
      </c>
      <c r="C92" s="117">
        <v>0.02</v>
      </c>
      <c r="D92" s="117">
        <f>ROUND((1+'Indicadores Financeiros'!$F$8)*(1+'Indicadores Financeiros'!$F$9)/(1-'Indicadores Financeiros'!$F$10-'Indicadores Financeiros'!$F$11-Tabela3[[#This Row],[ISS]])-1,4)</f>
        <v>0.2114</v>
      </c>
      <c r="G92" s="151"/>
      <c r="H92" s="117"/>
    </row>
    <row r="93" spans="1:8">
      <c r="A93" s="116" t="s">
        <v>288</v>
      </c>
      <c r="B93" t="s">
        <v>389</v>
      </c>
      <c r="C93" s="117">
        <v>0.05</v>
      </c>
      <c r="D93" s="117">
        <f>ROUND((1+'Indicadores Financeiros'!$F$8)*(1+'Indicadores Financeiros'!$F$9)/(1-'Indicadores Financeiros'!$F$10-'Indicadores Financeiros'!$F$11-Tabela3[[#This Row],[ISS]])-1,4)</f>
        <v>0.25119999999999998</v>
      </c>
      <c r="G93" s="151"/>
      <c r="H93" s="117"/>
    </row>
    <row r="94" spans="1:8">
      <c r="A94" s="116" t="s">
        <v>286</v>
      </c>
      <c r="B94" t="s">
        <v>390</v>
      </c>
      <c r="C94" s="117">
        <v>0.03</v>
      </c>
      <c r="D94" s="117">
        <f>ROUND((1+'Indicadores Financeiros'!$F$8)*(1+'Indicadores Financeiros'!$F$9)/(1-'Indicadores Financeiros'!$F$10-'Indicadores Financeiros'!$F$11-Tabela3[[#This Row],[ISS]])-1,4)</f>
        <v>0.22439999999999999</v>
      </c>
      <c r="G94" s="151"/>
      <c r="H94" s="117"/>
    </row>
    <row r="95" spans="1:8">
      <c r="A95" s="116" t="s">
        <v>286</v>
      </c>
      <c r="B95" t="s">
        <v>391</v>
      </c>
      <c r="C95" s="117">
        <v>0.05</v>
      </c>
      <c r="D95" s="117">
        <f>ROUND((1+'Indicadores Financeiros'!$F$8)*(1+'Indicadores Financeiros'!$F$9)/(1-'Indicadores Financeiros'!$F$10-'Indicadores Financeiros'!$F$11-Tabela3[[#This Row],[ISS]])-1,4)</f>
        <v>0.25119999999999998</v>
      </c>
      <c r="G95" s="151"/>
      <c r="H95" s="117"/>
    </row>
    <row r="96" spans="1:8">
      <c r="A96" s="116" t="s">
        <v>319</v>
      </c>
      <c r="B96" t="s">
        <v>392</v>
      </c>
      <c r="C96" s="117">
        <v>0.03</v>
      </c>
      <c r="D96" s="117">
        <f>ROUND((1+'Indicadores Financeiros'!$F$8)*(1+'Indicadores Financeiros'!$F$9)/(1-'Indicadores Financeiros'!$F$10-'Indicadores Financeiros'!$F$11-Tabela3[[#This Row],[ISS]])-1,4)</f>
        <v>0.22439999999999999</v>
      </c>
      <c r="G96" s="151"/>
      <c r="H96" s="117"/>
    </row>
    <row r="97" spans="1:8">
      <c r="A97" s="116" t="s">
        <v>299</v>
      </c>
      <c r="B97" t="s">
        <v>393</v>
      </c>
      <c r="C97" s="117">
        <v>0.02</v>
      </c>
      <c r="D97" s="117">
        <f>ROUND((1+'Indicadores Financeiros'!$F$8)*(1+'Indicadores Financeiros'!$F$9)/(1-'Indicadores Financeiros'!$F$10-'Indicadores Financeiros'!$F$11-Tabela3[[#This Row],[ISS]])-1,4)</f>
        <v>0.2114</v>
      </c>
      <c r="G97" s="151"/>
      <c r="H97" s="117"/>
    </row>
    <row r="98" spans="1:8">
      <c r="A98" s="116" t="s">
        <v>319</v>
      </c>
      <c r="B98" t="s">
        <v>394</v>
      </c>
      <c r="C98" s="117">
        <v>0.03</v>
      </c>
      <c r="D98" s="117">
        <f>ROUND((1+'Indicadores Financeiros'!$F$8)*(1+'Indicadores Financeiros'!$F$9)/(1-'Indicadores Financeiros'!$F$10-'Indicadores Financeiros'!$F$11-Tabela3[[#This Row],[ISS]])-1,4)</f>
        <v>0.22439999999999999</v>
      </c>
      <c r="G98" s="151"/>
      <c r="H98" s="117"/>
    </row>
    <row r="99" spans="1:8">
      <c r="A99" s="116" t="s">
        <v>294</v>
      </c>
      <c r="B99" t="s">
        <v>395</v>
      </c>
      <c r="C99" s="117">
        <v>0.03</v>
      </c>
      <c r="D99" s="117">
        <f>ROUND((1+'Indicadores Financeiros'!$F$8)*(1+'Indicadores Financeiros'!$F$9)/(1-'Indicadores Financeiros'!$F$10-'Indicadores Financeiros'!$F$11-Tabela3[[#This Row],[ISS]])-1,4)</f>
        <v>0.22439999999999999</v>
      </c>
      <c r="G99" s="151"/>
      <c r="H99" s="117"/>
    </row>
    <row r="100" spans="1:8">
      <c r="A100" s="116" t="s">
        <v>299</v>
      </c>
      <c r="B100" t="s">
        <v>396</v>
      </c>
      <c r="C100" s="117">
        <v>0.04</v>
      </c>
      <c r="D100" s="117">
        <f>ROUND((1+'Indicadores Financeiros'!$F$8)*(1+'Indicadores Financeiros'!$F$9)/(1-'Indicadores Financeiros'!$F$10-'Indicadores Financeiros'!$F$11-Tabela3[[#This Row],[ISS]])-1,4)</f>
        <v>0.23760000000000001</v>
      </c>
      <c r="G100" s="151"/>
      <c r="H100" s="117"/>
    </row>
    <row r="101" spans="1:8">
      <c r="A101" s="116" t="s">
        <v>310</v>
      </c>
      <c r="B101" t="s">
        <v>397</v>
      </c>
      <c r="C101" s="117">
        <v>0.03</v>
      </c>
      <c r="D101" s="117">
        <f>ROUND((1+'Indicadores Financeiros'!$F$8)*(1+'Indicadores Financeiros'!$F$9)/(1-'Indicadores Financeiros'!$F$10-'Indicadores Financeiros'!$F$11-Tabela3[[#This Row],[ISS]])-1,4)</f>
        <v>0.22439999999999999</v>
      </c>
      <c r="G101" s="151"/>
      <c r="H101" s="117"/>
    </row>
    <row r="102" spans="1:8">
      <c r="A102" s="116" t="s">
        <v>303</v>
      </c>
      <c r="B102" t="s">
        <v>398</v>
      </c>
      <c r="C102" s="117">
        <v>0.03</v>
      </c>
      <c r="D102" s="117">
        <f>ROUND((1+'Indicadores Financeiros'!$F$8)*(1+'Indicadores Financeiros'!$F$9)/(1-'Indicadores Financeiros'!$F$10-'Indicadores Financeiros'!$F$11-Tabela3[[#This Row],[ISS]])-1,4)</f>
        <v>0.22439999999999999</v>
      </c>
      <c r="G102" s="151"/>
      <c r="H102" s="117"/>
    </row>
    <row r="103" spans="1:8">
      <c r="A103" s="116" t="s">
        <v>294</v>
      </c>
      <c r="B103" t="s">
        <v>399</v>
      </c>
      <c r="C103" s="117">
        <v>2.5000000000000001E-2</v>
      </c>
      <c r="D103" s="117">
        <f>ROUND((1+'Indicadores Financeiros'!$F$8)*(1+'Indicadores Financeiros'!$F$9)/(1-'Indicadores Financeiros'!$F$10-'Indicadores Financeiros'!$F$11-Tabela3[[#This Row],[ISS]])-1,4)</f>
        <v>0.21790000000000001</v>
      </c>
      <c r="G103" s="151"/>
      <c r="H103" s="117"/>
    </row>
    <row r="104" spans="1:8">
      <c r="A104" s="116" t="s">
        <v>326</v>
      </c>
      <c r="B104" t="s">
        <v>400</v>
      </c>
      <c r="C104" s="117">
        <v>0.03</v>
      </c>
      <c r="D104" s="117">
        <f>ROUND((1+'Indicadores Financeiros'!$F$8)*(1+'Indicadores Financeiros'!$F$9)/(1-'Indicadores Financeiros'!$F$10-'Indicadores Financeiros'!$F$11-Tabela3[[#This Row],[ISS]])-1,4)</f>
        <v>0.22439999999999999</v>
      </c>
      <c r="G104" s="151"/>
      <c r="H104" s="117"/>
    </row>
    <row r="105" spans="1:8">
      <c r="A105" s="116" t="s">
        <v>310</v>
      </c>
      <c r="B105" t="s">
        <v>401</v>
      </c>
      <c r="C105" s="117">
        <v>0.03</v>
      </c>
      <c r="D105" s="117">
        <f>ROUND((1+'Indicadores Financeiros'!$F$8)*(1+'Indicadores Financeiros'!$F$9)/(1-'Indicadores Financeiros'!$F$10-'Indicadores Financeiros'!$F$11-Tabela3[[#This Row],[ISS]])-1,4)</f>
        <v>0.22439999999999999</v>
      </c>
      <c r="G105" s="151"/>
      <c r="H105" s="117"/>
    </row>
    <row r="106" spans="1:8">
      <c r="A106" s="116" t="s">
        <v>288</v>
      </c>
      <c r="B106" t="s">
        <v>402</v>
      </c>
      <c r="C106" s="117">
        <v>0.02</v>
      </c>
      <c r="D106" s="117">
        <f>ROUND((1+'Indicadores Financeiros'!$F$8)*(1+'Indicadores Financeiros'!$F$9)/(1-'Indicadores Financeiros'!$F$10-'Indicadores Financeiros'!$F$11-Tabela3[[#This Row],[ISS]])-1,4)</f>
        <v>0.2114</v>
      </c>
      <c r="G106" s="151"/>
      <c r="H106" s="117"/>
    </row>
    <row r="107" spans="1:8">
      <c r="A107" s="116" t="s">
        <v>294</v>
      </c>
      <c r="B107" t="s">
        <v>403</v>
      </c>
      <c r="C107" s="117">
        <v>0.03</v>
      </c>
      <c r="D107" s="117">
        <f>ROUND((1+'Indicadores Financeiros'!$F$8)*(1+'Indicadores Financeiros'!$F$9)/(1-'Indicadores Financeiros'!$F$10-'Indicadores Financeiros'!$F$11-Tabela3[[#This Row],[ISS]])-1,4)</f>
        <v>0.22439999999999999</v>
      </c>
      <c r="G107" s="151"/>
      <c r="H107" s="117"/>
    </row>
    <row r="108" spans="1:8">
      <c r="A108" s="116" t="s">
        <v>294</v>
      </c>
      <c r="B108" t="s">
        <v>404</v>
      </c>
      <c r="C108" s="117">
        <v>0.02</v>
      </c>
      <c r="D108" s="117">
        <f>ROUND((1+'Indicadores Financeiros'!$F$8)*(1+'Indicadores Financeiros'!$F$9)/(1-'Indicadores Financeiros'!$F$10-'Indicadores Financeiros'!$F$11-Tabela3[[#This Row],[ISS]])-1,4)</f>
        <v>0.2114</v>
      </c>
      <c r="G108" s="151"/>
      <c r="H108" s="117"/>
    </row>
    <row r="109" spans="1:8">
      <c r="A109" s="116" t="s">
        <v>294</v>
      </c>
      <c r="B109" t="s">
        <v>405</v>
      </c>
      <c r="C109" s="117">
        <v>2.5000000000000001E-2</v>
      </c>
      <c r="D109" s="117">
        <f>ROUND((1+'Indicadores Financeiros'!$F$8)*(1+'Indicadores Financeiros'!$F$9)/(1-'Indicadores Financeiros'!$F$10-'Indicadores Financeiros'!$F$11-Tabela3[[#This Row],[ISS]])-1,4)</f>
        <v>0.21790000000000001</v>
      </c>
      <c r="G109" s="151"/>
      <c r="H109" s="117"/>
    </row>
    <row r="110" spans="1:8">
      <c r="A110" s="116" t="s">
        <v>301</v>
      </c>
      <c r="B110" t="s">
        <v>406</v>
      </c>
      <c r="C110" s="117">
        <v>0.03</v>
      </c>
      <c r="D110" s="117">
        <f>ROUND((1+'Indicadores Financeiros'!$F$8)*(1+'Indicadores Financeiros'!$F$9)/(1-'Indicadores Financeiros'!$F$10-'Indicadores Financeiros'!$F$11-Tabela3[[#This Row],[ISS]])-1,4)</f>
        <v>0.22439999999999999</v>
      </c>
      <c r="G110" s="151"/>
      <c r="H110" s="117"/>
    </row>
    <row r="111" spans="1:8">
      <c r="A111" s="116" t="s">
        <v>286</v>
      </c>
      <c r="B111" t="s">
        <v>407</v>
      </c>
      <c r="C111" s="117">
        <v>3.5000000000000003E-2</v>
      </c>
      <c r="D111" s="117">
        <f>ROUND((1+'Indicadores Financeiros'!$F$8)*(1+'Indicadores Financeiros'!$F$9)/(1-'Indicadores Financeiros'!$F$10-'Indicadores Financeiros'!$F$11-Tabela3[[#This Row],[ISS]])-1,4)</f>
        <v>0.23100000000000001</v>
      </c>
      <c r="G111" s="151"/>
      <c r="H111" s="117"/>
    </row>
    <row r="112" spans="1:8">
      <c r="A112" s="116" t="s">
        <v>294</v>
      </c>
      <c r="B112" t="s">
        <v>408</v>
      </c>
      <c r="C112" s="117">
        <v>0.05</v>
      </c>
      <c r="D112" s="117">
        <f>ROUND((1+'Indicadores Financeiros'!$F$8)*(1+'Indicadores Financeiros'!$F$9)/(1-'Indicadores Financeiros'!$F$10-'Indicadores Financeiros'!$F$11-Tabela3[[#This Row],[ISS]])-1,4)</f>
        <v>0.25119999999999998</v>
      </c>
      <c r="G112" s="151"/>
      <c r="H112" s="117"/>
    </row>
    <row r="113" spans="1:8">
      <c r="A113" s="116" t="s">
        <v>326</v>
      </c>
      <c r="B113" t="s">
        <v>409</v>
      </c>
      <c r="C113" s="117">
        <v>0.03</v>
      </c>
      <c r="D113" s="117">
        <f>ROUND((1+'Indicadores Financeiros'!$F$8)*(1+'Indicadores Financeiros'!$F$9)/(1-'Indicadores Financeiros'!$F$10-'Indicadores Financeiros'!$F$11-Tabela3[[#This Row],[ISS]])-1,4)</f>
        <v>0.22439999999999999</v>
      </c>
      <c r="G113" s="151"/>
      <c r="H113" s="117"/>
    </row>
    <row r="114" spans="1:8">
      <c r="A114" s="116" t="s">
        <v>299</v>
      </c>
      <c r="B114" t="s">
        <v>410</v>
      </c>
      <c r="C114" s="117">
        <v>0.03</v>
      </c>
      <c r="D114" s="117">
        <f>ROUND((1+'Indicadores Financeiros'!$F$8)*(1+'Indicadores Financeiros'!$F$9)/(1-'Indicadores Financeiros'!$F$10-'Indicadores Financeiros'!$F$11-Tabela3[[#This Row],[ISS]])-1,4)</f>
        <v>0.22439999999999999</v>
      </c>
      <c r="G114" s="151"/>
      <c r="H114" s="117"/>
    </row>
    <row r="115" spans="1:8">
      <c r="A115" s="116" t="s">
        <v>303</v>
      </c>
      <c r="B115" t="s">
        <v>411</v>
      </c>
      <c r="C115" s="117">
        <v>0.05</v>
      </c>
      <c r="D115" s="117">
        <f>ROUND((1+'Indicadores Financeiros'!$F$8)*(1+'Indicadores Financeiros'!$F$9)/(1-'Indicadores Financeiros'!$F$10-'Indicadores Financeiros'!$F$11-Tabela3[[#This Row],[ISS]])-1,4)</f>
        <v>0.25119999999999998</v>
      </c>
      <c r="G115" s="151"/>
      <c r="H115" s="117"/>
    </row>
    <row r="116" spans="1:8">
      <c r="A116" s="116" t="s">
        <v>301</v>
      </c>
      <c r="B116" t="s">
        <v>412</v>
      </c>
      <c r="C116" s="117">
        <v>0.02</v>
      </c>
      <c r="D116" s="117">
        <f>ROUND((1+'Indicadores Financeiros'!$F$8)*(1+'Indicadores Financeiros'!$F$9)/(1-'Indicadores Financeiros'!$F$10-'Indicadores Financeiros'!$F$11-Tabela3[[#This Row],[ISS]])-1,4)</f>
        <v>0.2114</v>
      </c>
      <c r="G116" s="151"/>
      <c r="H116" s="117"/>
    </row>
    <row r="117" spans="1:8">
      <c r="A117" s="116" t="s">
        <v>292</v>
      </c>
      <c r="B117" t="s">
        <v>413</v>
      </c>
      <c r="C117" s="117">
        <v>0.05</v>
      </c>
      <c r="D117" s="117">
        <f>ROUND((1+'Indicadores Financeiros'!$F$8)*(1+'Indicadores Financeiros'!$F$9)/(1-'Indicadores Financeiros'!$F$10-'Indicadores Financeiros'!$F$11-Tabela3[[#This Row],[ISS]])-1,4)</f>
        <v>0.25119999999999998</v>
      </c>
      <c r="G117" s="151"/>
      <c r="H117" s="117"/>
    </row>
    <row r="118" spans="1:8">
      <c r="A118" s="116" t="s">
        <v>294</v>
      </c>
      <c r="B118" t="s">
        <v>414</v>
      </c>
      <c r="C118" s="117">
        <v>0.05</v>
      </c>
      <c r="D118" s="117">
        <f>ROUND((1+'Indicadores Financeiros'!$F$8)*(1+'Indicadores Financeiros'!$F$9)/(1-'Indicadores Financeiros'!$F$10-'Indicadores Financeiros'!$F$11-Tabela3[[#This Row],[ISS]])-1,4)</f>
        <v>0.25119999999999998</v>
      </c>
      <c r="G118" s="151"/>
      <c r="H118" s="117"/>
    </row>
    <row r="119" spans="1:8">
      <c r="A119" s="116" t="s">
        <v>301</v>
      </c>
      <c r="B119" t="s">
        <v>415</v>
      </c>
      <c r="C119" s="117">
        <v>0.05</v>
      </c>
      <c r="D119" s="117">
        <f>ROUND((1+'Indicadores Financeiros'!$F$8)*(1+'Indicadores Financeiros'!$F$9)/(1-'Indicadores Financeiros'!$F$10-'Indicadores Financeiros'!$F$11-Tabela3[[#This Row],[ISS]])-1,4)</f>
        <v>0.25119999999999998</v>
      </c>
      <c r="G119" s="151"/>
      <c r="H119" s="117"/>
    </row>
    <row r="120" spans="1:8">
      <c r="A120" s="116" t="s">
        <v>292</v>
      </c>
      <c r="B120" t="s">
        <v>416</v>
      </c>
      <c r="C120" s="117">
        <v>0.02</v>
      </c>
      <c r="D120" s="117">
        <f>ROUND((1+'Indicadores Financeiros'!$F$8)*(1+'Indicadores Financeiros'!$F$9)/(1-'Indicadores Financeiros'!$F$10-'Indicadores Financeiros'!$F$11-Tabela3[[#This Row],[ISS]])-1,4)</f>
        <v>0.2114</v>
      </c>
      <c r="G120" s="151"/>
      <c r="H120" s="117"/>
    </row>
    <row r="121" spans="1:8">
      <c r="A121" s="116" t="s">
        <v>319</v>
      </c>
      <c r="B121" t="s">
        <v>417</v>
      </c>
      <c r="C121" s="117">
        <v>0.03</v>
      </c>
      <c r="D121" s="117">
        <f>ROUND((1+'Indicadores Financeiros'!$F$8)*(1+'Indicadores Financeiros'!$F$9)/(1-'Indicadores Financeiros'!$F$10-'Indicadores Financeiros'!$F$11-Tabela3[[#This Row],[ISS]])-1,4)</f>
        <v>0.22439999999999999</v>
      </c>
      <c r="G121" s="151"/>
      <c r="H121" s="117"/>
    </row>
    <row r="122" spans="1:8">
      <c r="A122" s="116" t="s">
        <v>326</v>
      </c>
      <c r="B122" t="s">
        <v>418</v>
      </c>
      <c r="C122" s="117">
        <v>0.05</v>
      </c>
      <c r="D122" s="117">
        <f>ROUND((1+'Indicadores Financeiros'!$F$8)*(1+'Indicadores Financeiros'!$F$9)/(1-'Indicadores Financeiros'!$F$10-'Indicadores Financeiros'!$F$11-Tabela3[[#This Row],[ISS]])-1,4)</f>
        <v>0.25119999999999998</v>
      </c>
      <c r="G122" s="151"/>
      <c r="H122" s="117"/>
    </row>
    <row r="123" spans="1:8">
      <c r="A123" s="116" t="s">
        <v>310</v>
      </c>
      <c r="B123" t="s">
        <v>419</v>
      </c>
      <c r="C123" s="117">
        <v>0.02</v>
      </c>
      <c r="D123" s="117">
        <f>ROUND((1+'Indicadores Financeiros'!$F$8)*(1+'Indicadores Financeiros'!$F$9)/(1-'Indicadores Financeiros'!$F$10-'Indicadores Financeiros'!$F$11-Tabela3[[#This Row],[ISS]])-1,4)</f>
        <v>0.2114</v>
      </c>
      <c r="G123" s="151"/>
      <c r="H123" s="117"/>
    </row>
    <row r="124" spans="1:8">
      <c r="A124" s="116" t="s">
        <v>301</v>
      </c>
      <c r="B124" t="s">
        <v>420</v>
      </c>
      <c r="C124" s="117">
        <v>0.03</v>
      </c>
      <c r="D124" s="117">
        <f>ROUND((1+'Indicadores Financeiros'!$F$8)*(1+'Indicadores Financeiros'!$F$9)/(1-'Indicadores Financeiros'!$F$10-'Indicadores Financeiros'!$F$11-Tabela3[[#This Row],[ISS]])-1,4)</f>
        <v>0.22439999999999999</v>
      </c>
      <c r="G124" s="151"/>
      <c r="H124" s="117"/>
    </row>
    <row r="125" spans="1:8">
      <c r="A125" s="116" t="s">
        <v>301</v>
      </c>
      <c r="B125" t="s">
        <v>421</v>
      </c>
      <c r="C125" s="117">
        <v>0.05</v>
      </c>
      <c r="D125" s="117">
        <f>ROUND((1+'Indicadores Financeiros'!$F$8)*(1+'Indicadores Financeiros'!$F$9)/(1-'Indicadores Financeiros'!$F$10-'Indicadores Financeiros'!$F$11-Tabela3[[#This Row],[ISS]])-1,4)</f>
        <v>0.25119999999999998</v>
      </c>
      <c r="G125" s="151"/>
      <c r="H125" s="117"/>
    </row>
    <row r="126" spans="1:8">
      <c r="A126" s="116" t="s">
        <v>310</v>
      </c>
      <c r="B126" t="s">
        <v>422</v>
      </c>
      <c r="C126" s="117">
        <v>0.05</v>
      </c>
      <c r="D126" s="117">
        <f>ROUND((1+'Indicadores Financeiros'!$F$8)*(1+'Indicadores Financeiros'!$F$9)/(1-'Indicadores Financeiros'!$F$10-'Indicadores Financeiros'!$F$11-Tabela3[[#This Row],[ISS]])-1,4)</f>
        <v>0.25119999999999998</v>
      </c>
      <c r="G126" s="151"/>
      <c r="H126" s="117"/>
    </row>
    <row r="127" spans="1:8">
      <c r="A127" s="116" t="s">
        <v>288</v>
      </c>
      <c r="B127" t="s">
        <v>423</v>
      </c>
      <c r="C127" s="117">
        <v>0.05</v>
      </c>
      <c r="D127" s="117">
        <f>ROUND((1+'Indicadores Financeiros'!$F$8)*(1+'Indicadores Financeiros'!$F$9)/(1-'Indicadores Financeiros'!$F$10-'Indicadores Financeiros'!$F$11-Tabela3[[#This Row],[ISS]])-1,4)</f>
        <v>0.25119999999999998</v>
      </c>
      <c r="G127" s="151"/>
      <c r="H127" s="117"/>
    </row>
    <row r="128" spans="1:8">
      <c r="A128" s="116" t="s">
        <v>294</v>
      </c>
      <c r="B128" t="s">
        <v>424</v>
      </c>
      <c r="C128" s="117">
        <v>0.03</v>
      </c>
      <c r="D128" s="117">
        <f>ROUND((1+'Indicadores Financeiros'!$F$8)*(1+'Indicadores Financeiros'!$F$9)/(1-'Indicadores Financeiros'!$F$10-'Indicadores Financeiros'!$F$11-Tabela3[[#This Row],[ISS]])-1,4)</f>
        <v>0.22439999999999999</v>
      </c>
      <c r="G128" s="151"/>
      <c r="H128" s="117"/>
    </row>
    <row r="129" spans="1:8">
      <c r="A129" s="116" t="s">
        <v>301</v>
      </c>
      <c r="B129" t="s">
        <v>425</v>
      </c>
      <c r="C129" s="117">
        <v>0.05</v>
      </c>
      <c r="D129" s="117">
        <f>ROUND((1+'Indicadores Financeiros'!$F$8)*(1+'Indicadores Financeiros'!$F$9)/(1-'Indicadores Financeiros'!$F$10-'Indicadores Financeiros'!$F$11-Tabela3[[#This Row],[ISS]])-1,4)</f>
        <v>0.25119999999999998</v>
      </c>
      <c r="G129" s="151"/>
      <c r="H129" s="117"/>
    </row>
    <row r="130" spans="1:8">
      <c r="A130" s="116" t="s">
        <v>310</v>
      </c>
      <c r="B130" t="s">
        <v>426</v>
      </c>
      <c r="C130" s="117">
        <v>0.05</v>
      </c>
      <c r="D130" s="117">
        <f>ROUND((1+'Indicadores Financeiros'!$F$8)*(1+'Indicadores Financeiros'!$F$9)/(1-'Indicadores Financeiros'!$F$10-'Indicadores Financeiros'!$F$11-Tabela3[[#This Row],[ISS]])-1,4)</f>
        <v>0.25119999999999998</v>
      </c>
      <c r="G130" s="151"/>
      <c r="H130" s="117"/>
    </row>
    <row r="131" spans="1:8">
      <c r="A131" s="116" t="s">
        <v>301</v>
      </c>
      <c r="B131" t="s">
        <v>427</v>
      </c>
      <c r="C131" s="117">
        <v>0.02</v>
      </c>
      <c r="D131" s="117">
        <f>ROUND((1+'Indicadores Financeiros'!$F$8)*(1+'Indicadores Financeiros'!$F$9)/(1-'Indicadores Financeiros'!$F$10-'Indicadores Financeiros'!$F$11-Tabela3[[#This Row],[ISS]])-1,4)</f>
        <v>0.2114</v>
      </c>
      <c r="G131" s="151"/>
      <c r="H131" s="117"/>
    </row>
    <row r="132" spans="1:8">
      <c r="A132" s="116" t="s">
        <v>326</v>
      </c>
      <c r="B132" t="s">
        <v>428</v>
      </c>
      <c r="C132" s="117">
        <v>0.05</v>
      </c>
      <c r="D132" s="117">
        <f>ROUND((1+'Indicadores Financeiros'!$F$8)*(1+'Indicadores Financeiros'!$F$9)/(1-'Indicadores Financeiros'!$F$10-'Indicadores Financeiros'!$F$11-Tabela3[[#This Row],[ISS]])-1,4)</f>
        <v>0.25119999999999998</v>
      </c>
      <c r="G132" s="151"/>
      <c r="H132" s="117"/>
    </row>
    <row r="133" spans="1:8">
      <c r="A133" s="116" t="s">
        <v>288</v>
      </c>
      <c r="B133" t="s">
        <v>429</v>
      </c>
      <c r="C133" s="117">
        <v>0.02</v>
      </c>
      <c r="D133" s="117">
        <f>ROUND((1+'Indicadores Financeiros'!$F$8)*(1+'Indicadores Financeiros'!$F$9)/(1-'Indicadores Financeiros'!$F$10-'Indicadores Financeiros'!$F$11-Tabela3[[#This Row],[ISS]])-1,4)</f>
        <v>0.2114</v>
      </c>
      <c r="G133" s="151"/>
      <c r="H133" s="117"/>
    </row>
    <row r="134" spans="1:8">
      <c r="A134" s="116" t="s">
        <v>292</v>
      </c>
      <c r="B134" t="s">
        <v>430</v>
      </c>
      <c r="C134" s="117">
        <v>0.02</v>
      </c>
      <c r="D134" s="117">
        <f>ROUND((1+'Indicadores Financeiros'!$F$8)*(1+'Indicadores Financeiros'!$F$9)/(1-'Indicadores Financeiros'!$F$10-'Indicadores Financeiros'!$F$11-Tabela3[[#This Row],[ISS]])-1,4)</f>
        <v>0.2114</v>
      </c>
      <c r="G134" s="151"/>
      <c r="H134" s="117"/>
    </row>
    <row r="135" spans="1:8">
      <c r="A135" s="116" t="s">
        <v>288</v>
      </c>
      <c r="B135" t="s">
        <v>431</v>
      </c>
      <c r="C135" s="117">
        <v>0.03</v>
      </c>
      <c r="D135" s="117">
        <f>ROUND((1+'Indicadores Financeiros'!$F$8)*(1+'Indicadores Financeiros'!$F$9)/(1-'Indicadores Financeiros'!$F$10-'Indicadores Financeiros'!$F$11-Tabela3[[#This Row],[ISS]])-1,4)</f>
        <v>0.22439999999999999</v>
      </c>
      <c r="G135" s="151"/>
      <c r="H135" s="117"/>
    </row>
    <row r="136" spans="1:8">
      <c r="A136" s="116" t="s">
        <v>301</v>
      </c>
      <c r="B136" t="s">
        <v>432</v>
      </c>
      <c r="C136" s="117">
        <v>0.02</v>
      </c>
      <c r="D136" s="117">
        <f>ROUND((1+'Indicadores Financeiros'!$F$8)*(1+'Indicadores Financeiros'!$F$9)/(1-'Indicadores Financeiros'!$F$10-'Indicadores Financeiros'!$F$11-Tabela3[[#This Row],[ISS]])-1,4)</f>
        <v>0.2114</v>
      </c>
      <c r="G136" s="151"/>
      <c r="H136" s="117"/>
    </row>
    <row r="137" spans="1:8">
      <c r="A137" s="116" t="s">
        <v>288</v>
      </c>
      <c r="B137" t="s">
        <v>433</v>
      </c>
      <c r="C137" s="117">
        <v>0.02</v>
      </c>
      <c r="D137" s="117">
        <f>ROUND((1+'Indicadores Financeiros'!$F$8)*(1+'Indicadores Financeiros'!$F$9)/(1-'Indicadores Financeiros'!$F$10-'Indicadores Financeiros'!$F$11-Tabela3[[#This Row],[ISS]])-1,4)</f>
        <v>0.2114</v>
      </c>
      <c r="G137" s="151"/>
      <c r="H137" s="117"/>
    </row>
    <row r="138" spans="1:8">
      <c r="A138" s="116" t="s">
        <v>294</v>
      </c>
      <c r="B138" t="s">
        <v>434</v>
      </c>
      <c r="C138" s="117">
        <v>0.02</v>
      </c>
      <c r="D138" s="117">
        <f>ROUND((1+'Indicadores Financeiros'!$F$8)*(1+'Indicadores Financeiros'!$F$9)/(1-'Indicadores Financeiros'!$F$10-'Indicadores Financeiros'!$F$11-Tabela3[[#This Row],[ISS]])-1,4)</f>
        <v>0.2114</v>
      </c>
      <c r="G138" s="151"/>
      <c r="H138" s="117"/>
    </row>
    <row r="139" spans="1:8">
      <c r="A139" s="116" t="s">
        <v>294</v>
      </c>
      <c r="B139" t="s">
        <v>435</v>
      </c>
      <c r="C139" s="117">
        <v>0.03</v>
      </c>
      <c r="D139" s="117">
        <f>ROUND((1+'Indicadores Financeiros'!$F$8)*(1+'Indicadores Financeiros'!$F$9)/(1-'Indicadores Financeiros'!$F$10-'Indicadores Financeiros'!$F$11-Tabela3[[#This Row],[ISS]])-1,4)</f>
        <v>0.22439999999999999</v>
      </c>
      <c r="G139" s="151"/>
      <c r="H139" s="117"/>
    </row>
    <row r="140" spans="1:8">
      <c r="A140" s="116" t="s">
        <v>303</v>
      </c>
      <c r="B140" t="s">
        <v>436</v>
      </c>
      <c r="C140" s="117">
        <v>0.03</v>
      </c>
      <c r="D140" s="117">
        <f>ROUND((1+'Indicadores Financeiros'!$F$8)*(1+'Indicadores Financeiros'!$F$9)/(1-'Indicadores Financeiros'!$F$10-'Indicadores Financeiros'!$F$11-Tabela3[[#This Row],[ISS]])-1,4)</f>
        <v>0.22439999999999999</v>
      </c>
      <c r="G140" s="151"/>
      <c r="H140" s="117"/>
    </row>
    <row r="141" spans="1:8">
      <c r="A141" s="116" t="s">
        <v>326</v>
      </c>
      <c r="B141" t="s">
        <v>437</v>
      </c>
      <c r="C141" s="117">
        <v>0.03</v>
      </c>
      <c r="D141" s="117">
        <f>ROUND((1+'Indicadores Financeiros'!$F$8)*(1+'Indicadores Financeiros'!$F$9)/(1-'Indicadores Financeiros'!$F$10-'Indicadores Financeiros'!$F$11-Tabela3[[#This Row],[ISS]])-1,4)</f>
        <v>0.22439999999999999</v>
      </c>
      <c r="G141" s="151"/>
      <c r="H141" s="117"/>
    </row>
    <row r="142" spans="1:8">
      <c r="A142" s="116" t="s">
        <v>288</v>
      </c>
      <c r="B142" t="s">
        <v>438</v>
      </c>
      <c r="C142" s="117">
        <v>0.02</v>
      </c>
      <c r="D142" s="117">
        <f>ROUND((1+'Indicadores Financeiros'!$F$8)*(1+'Indicadores Financeiros'!$F$9)/(1-'Indicadores Financeiros'!$F$10-'Indicadores Financeiros'!$F$11-Tabela3[[#This Row],[ISS]])-1,4)</f>
        <v>0.2114</v>
      </c>
      <c r="G142" s="151"/>
      <c r="H142" s="117"/>
    </row>
    <row r="143" spans="1:8">
      <c r="A143" s="116" t="s">
        <v>299</v>
      </c>
      <c r="B143" t="s">
        <v>439</v>
      </c>
      <c r="C143" s="117">
        <v>0.03</v>
      </c>
      <c r="D143" s="117">
        <f>ROUND((1+'Indicadores Financeiros'!$F$8)*(1+'Indicadores Financeiros'!$F$9)/(1-'Indicadores Financeiros'!$F$10-'Indicadores Financeiros'!$F$11-Tabela3[[#This Row],[ISS]])-1,4)</f>
        <v>0.22439999999999999</v>
      </c>
      <c r="G143" s="151"/>
      <c r="H143" s="117"/>
    </row>
    <row r="144" spans="1:8">
      <c r="A144" s="116" t="s">
        <v>310</v>
      </c>
      <c r="B144" t="s">
        <v>440</v>
      </c>
      <c r="C144" s="117">
        <v>0.05</v>
      </c>
      <c r="D144" s="117">
        <f>ROUND((1+'Indicadores Financeiros'!$F$8)*(1+'Indicadores Financeiros'!$F$9)/(1-'Indicadores Financeiros'!$F$10-'Indicadores Financeiros'!$F$11-Tabela3[[#This Row],[ISS]])-1,4)</f>
        <v>0.25119999999999998</v>
      </c>
      <c r="G144" s="151"/>
      <c r="H144" s="117"/>
    </row>
    <row r="145" spans="1:8">
      <c r="A145" s="116" t="s">
        <v>294</v>
      </c>
      <c r="B145" t="s">
        <v>441</v>
      </c>
      <c r="C145" s="117">
        <v>0.02</v>
      </c>
      <c r="D145" s="117">
        <f>ROUND((1+'Indicadores Financeiros'!$F$8)*(1+'Indicadores Financeiros'!$F$9)/(1-'Indicadores Financeiros'!$F$10-'Indicadores Financeiros'!$F$11-Tabela3[[#This Row],[ISS]])-1,4)</f>
        <v>0.2114</v>
      </c>
      <c r="G145" s="151"/>
      <c r="H145" s="117"/>
    </row>
    <row r="146" spans="1:8">
      <c r="A146" s="116" t="s">
        <v>288</v>
      </c>
      <c r="B146" t="s">
        <v>442</v>
      </c>
      <c r="C146" s="117">
        <v>0.05</v>
      </c>
      <c r="D146" s="117">
        <f>ROUND((1+'Indicadores Financeiros'!$F$8)*(1+'Indicadores Financeiros'!$F$9)/(1-'Indicadores Financeiros'!$F$10-'Indicadores Financeiros'!$F$11-Tabela3[[#This Row],[ISS]])-1,4)</f>
        <v>0.25119999999999998</v>
      </c>
      <c r="G146" s="151"/>
      <c r="H146" s="117"/>
    </row>
    <row r="147" spans="1:8">
      <c r="A147" s="116" t="s">
        <v>292</v>
      </c>
      <c r="B147" t="s">
        <v>443</v>
      </c>
      <c r="C147" s="117">
        <v>0.03</v>
      </c>
      <c r="D147" s="117">
        <f>ROUND((1+'Indicadores Financeiros'!$F$8)*(1+'Indicadores Financeiros'!$F$9)/(1-'Indicadores Financeiros'!$F$10-'Indicadores Financeiros'!$F$11-Tabela3[[#This Row],[ISS]])-1,4)</f>
        <v>0.22439999999999999</v>
      </c>
      <c r="G147" s="151"/>
      <c r="H147" s="117"/>
    </row>
    <row r="148" spans="1:8">
      <c r="A148" s="116" t="s">
        <v>319</v>
      </c>
      <c r="B148" t="s">
        <v>444</v>
      </c>
      <c r="C148" s="117">
        <v>0.02</v>
      </c>
      <c r="D148" s="117">
        <f>ROUND((1+'Indicadores Financeiros'!$F$8)*(1+'Indicadores Financeiros'!$F$9)/(1-'Indicadores Financeiros'!$F$10-'Indicadores Financeiros'!$F$11-Tabela3[[#This Row],[ISS]])-1,4)</f>
        <v>0.2114</v>
      </c>
      <c r="G148" s="151"/>
      <c r="H148" s="117"/>
    </row>
    <row r="149" spans="1:8">
      <c r="A149" s="116" t="s">
        <v>288</v>
      </c>
      <c r="B149" t="s">
        <v>445</v>
      </c>
      <c r="C149" s="117">
        <v>0.02</v>
      </c>
      <c r="D149" s="117">
        <f>ROUND((1+'Indicadores Financeiros'!$F$8)*(1+'Indicadores Financeiros'!$F$9)/(1-'Indicadores Financeiros'!$F$10-'Indicadores Financeiros'!$F$11-Tabela3[[#This Row],[ISS]])-1,4)</f>
        <v>0.2114</v>
      </c>
      <c r="G149" s="151"/>
      <c r="H149" s="117"/>
    </row>
    <row r="150" spans="1:8">
      <c r="A150" s="116" t="s">
        <v>286</v>
      </c>
      <c r="B150" t="s">
        <v>446</v>
      </c>
      <c r="C150" s="117">
        <v>0.03</v>
      </c>
      <c r="D150" s="117">
        <f>ROUND((1+'Indicadores Financeiros'!$F$8)*(1+'Indicadores Financeiros'!$F$9)/(1-'Indicadores Financeiros'!$F$10-'Indicadores Financeiros'!$F$11-Tabela3[[#This Row],[ISS]])-1,4)</f>
        <v>0.22439999999999999</v>
      </c>
      <c r="G150" s="151"/>
      <c r="H150" s="117"/>
    </row>
    <row r="151" spans="1:8">
      <c r="A151" s="116" t="s">
        <v>326</v>
      </c>
      <c r="B151" t="s">
        <v>447</v>
      </c>
      <c r="C151" s="117">
        <v>0.05</v>
      </c>
      <c r="D151" s="117">
        <f>ROUND((1+'Indicadores Financeiros'!$F$8)*(1+'Indicadores Financeiros'!$F$9)/(1-'Indicadores Financeiros'!$F$10-'Indicadores Financeiros'!$F$11-Tabela3[[#This Row],[ISS]])-1,4)</f>
        <v>0.25119999999999998</v>
      </c>
      <c r="G151" s="151"/>
      <c r="H151" s="117"/>
    </row>
    <row r="152" spans="1:8">
      <c r="A152" s="116" t="s">
        <v>288</v>
      </c>
      <c r="B152" t="s">
        <v>448</v>
      </c>
      <c r="C152" s="117">
        <v>0.05</v>
      </c>
      <c r="D152" s="117">
        <f>ROUND((1+'Indicadores Financeiros'!$F$8)*(1+'Indicadores Financeiros'!$F$9)/(1-'Indicadores Financeiros'!$F$10-'Indicadores Financeiros'!$F$11-Tabela3[[#This Row],[ISS]])-1,4)</f>
        <v>0.25119999999999998</v>
      </c>
      <c r="G152" s="151"/>
      <c r="H152" s="117"/>
    </row>
    <row r="153" spans="1:8">
      <c r="A153" s="116" t="s">
        <v>288</v>
      </c>
      <c r="B153" t="s">
        <v>449</v>
      </c>
      <c r="C153" s="117">
        <v>0.05</v>
      </c>
      <c r="D153" s="117">
        <f>ROUND((1+'Indicadores Financeiros'!$F$8)*(1+'Indicadores Financeiros'!$F$9)/(1-'Indicadores Financeiros'!$F$10-'Indicadores Financeiros'!$F$11-Tabela3[[#This Row],[ISS]])-1,4)</f>
        <v>0.25119999999999998</v>
      </c>
      <c r="G153" s="151"/>
      <c r="H153" s="117"/>
    </row>
    <row r="154" spans="1:8">
      <c r="A154" s="116" t="s">
        <v>292</v>
      </c>
      <c r="B154" t="s">
        <v>450</v>
      </c>
      <c r="C154" s="117">
        <v>0.02</v>
      </c>
      <c r="D154" s="117">
        <f>ROUND((1+'Indicadores Financeiros'!$F$8)*(1+'Indicadores Financeiros'!$F$9)/(1-'Indicadores Financeiros'!$F$10-'Indicadores Financeiros'!$F$11-Tabela3[[#This Row],[ISS]])-1,4)</f>
        <v>0.2114</v>
      </c>
      <c r="G154" s="151"/>
      <c r="H154" s="117"/>
    </row>
    <row r="155" spans="1:8">
      <c r="A155" s="116" t="s">
        <v>288</v>
      </c>
      <c r="B155" t="s">
        <v>451</v>
      </c>
      <c r="C155" s="117">
        <v>0.05</v>
      </c>
      <c r="D155" s="117">
        <f>ROUND((1+'Indicadores Financeiros'!$F$8)*(1+'Indicadores Financeiros'!$F$9)/(1-'Indicadores Financeiros'!$F$10-'Indicadores Financeiros'!$F$11-Tabela3[[#This Row],[ISS]])-1,4)</f>
        <v>0.25119999999999998</v>
      </c>
      <c r="G155" s="151"/>
      <c r="H155" s="117"/>
    </row>
    <row r="156" spans="1:8">
      <c r="A156" s="116" t="s">
        <v>299</v>
      </c>
      <c r="B156" t="s">
        <v>452</v>
      </c>
      <c r="C156" s="117">
        <v>0.02</v>
      </c>
      <c r="D156" s="117">
        <f>ROUND((1+'Indicadores Financeiros'!$F$8)*(1+'Indicadores Financeiros'!$F$9)/(1-'Indicadores Financeiros'!$F$10-'Indicadores Financeiros'!$F$11-Tabela3[[#This Row],[ISS]])-1,4)</f>
        <v>0.2114</v>
      </c>
      <c r="G156" s="151"/>
      <c r="H156" s="117"/>
    </row>
    <row r="157" spans="1:8">
      <c r="A157" s="116" t="s">
        <v>303</v>
      </c>
      <c r="B157" t="s">
        <v>453</v>
      </c>
      <c r="C157" s="117">
        <v>0.03</v>
      </c>
      <c r="D157" s="117">
        <f>ROUND((1+'Indicadores Financeiros'!$F$8)*(1+'Indicadores Financeiros'!$F$9)/(1-'Indicadores Financeiros'!$F$10-'Indicadores Financeiros'!$F$11-Tabela3[[#This Row],[ISS]])-1,4)</f>
        <v>0.22439999999999999</v>
      </c>
      <c r="G157" s="151"/>
      <c r="H157" s="117"/>
    </row>
    <row r="158" spans="1:8">
      <c r="A158" s="116" t="s">
        <v>288</v>
      </c>
      <c r="B158" t="s">
        <v>454</v>
      </c>
      <c r="C158" s="117">
        <v>0.02</v>
      </c>
      <c r="D158" s="117">
        <f>ROUND((1+'Indicadores Financeiros'!$F$8)*(1+'Indicadores Financeiros'!$F$9)/(1-'Indicadores Financeiros'!$F$10-'Indicadores Financeiros'!$F$11-Tabela3[[#This Row],[ISS]])-1,4)</f>
        <v>0.2114</v>
      </c>
      <c r="G158" s="151"/>
      <c r="H158" s="117"/>
    </row>
    <row r="159" spans="1:8">
      <c r="A159" s="116" t="s">
        <v>286</v>
      </c>
      <c r="B159" t="s">
        <v>455</v>
      </c>
      <c r="C159" s="117">
        <v>0.02</v>
      </c>
      <c r="D159" s="117">
        <f>ROUND((1+'Indicadores Financeiros'!$F$8)*(1+'Indicadores Financeiros'!$F$9)/(1-'Indicadores Financeiros'!$F$10-'Indicadores Financeiros'!$F$11-Tabela3[[#This Row],[ISS]])-1,4)</f>
        <v>0.2114</v>
      </c>
      <c r="G159" s="151"/>
      <c r="H159" s="117"/>
    </row>
    <row r="160" spans="1:8">
      <c r="A160" s="116" t="s">
        <v>292</v>
      </c>
      <c r="B160" t="s">
        <v>456</v>
      </c>
      <c r="C160" s="117">
        <v>0.04</v>
      </c>
      <c r="D160" s="117">
        <f>ROUND((1+'Indicadores Financeiros'!$F$8)*(1+'Indicadores Financeiros'!$F$9)/(1-'Indicadores Financeiros'!$F$10-'Indicadores Financeiros'!$F$11-Tabela3[[#This Row],[ISS]])-1,4)</f>
        <v>0.23760000000000001</v>
      </c>
      <c r="G160" s="151"/>
      <c r="H160" s="117"/>
    </row>
    <row r="161" spans="1:8">
      <c r="A161" s="116" t="s">
        <v>319</v>
      </c>
      <c r="B161" t="s">
        <v>457</v>
      </c>
      <c r="C161" s="117">
        <v>0.05</v>
      </c>
      <c r="D161" s="117">
        <f>ROUND((1+'Indicadores Financeiros'!$F$8)*(1+'Indicadores Financeiros'!$F$9)/(1-'Indicadores Financeiros'!$F$10-'Indicadores Financeiros'!$F$11-Tabela3[[#This Row],[ISS]])-1,4)</f>
        <v>0.25119999999999998</v>
      </c>
      <c r="G161" s="151"/>
      <c r="H161" s="117"/>
    </row>
    <row r="162" spans="1:8">
      <c r="A162" s="116" t="s">
        <v>301</v>
      </c>
      <c r="B162" t="s">
        <v>458</v>
      </c>
      <c r="C162" s="117">
        <v>0.03</v>
      </c>
      <c r="D162" s="117">
        <f>ROUND((1+'Indicadores Financeiros'!$F$8)*(1+'Indicadores Financeiros'!$F$9)/(1-'Indicadores Financeiros'!$F$10-'Indicadores Financeiros'!$F$11-Tabela3[[#This Row],[ISS]])-1,4)</f>
        <v>0.22439999999999999</v>
      </c>
      <c r="G162" s="151"/>
      <c r="H162" s="117"/>
    </row>
    <row r="163" spans="1:8">
      <c r="A163" s="116" t="s">
        <v>310</v>
      </c>
      <c r="B163" t="s">
        <v>459</v>
      </c>
      <c r="C163" s="117">
        <v>0.02</v>
      </c>
      <c r="D163" s="117">
        <f>ROUND((1+'Indicadores Financeiros'!$F$8)*(1+'Indicadores Financeiros'!$F$9)/(1-'Indicadores Financeiros'!$F$10-'Indicadores Financeiros'!$F$11-Tabela3[[#This Row],[ISS]])-1,4)</f>
        <v>0.2114</v>
      </c>
      <c r="G163" s="151"/>
      <c r="H163" s="117"/>
    </row>
    <row r="164" spans="1:8">
      <c r="A164" s="116" t="s">
        <v>286</v>
      </c>
      <c r="B164" t="s">
        <v>460</v>
      </c>
      <c r="C164" s="117">
        <v>0.04</v>
      </c>
      <c r="D164" s="117">
        <f>ROUND((1+'Indicadores Financeiros'!$F$8)*(1+'Indicadores Financeiros'!$F$9)/(1-'Indicadores Financeiros'!$F$10-'Indicadores Financeiros'!$F$11-Tabela3[[#This Row],[ISS]])-1,4)</f>
        <v>0.23760000000000001</v>
      </c>
      <c r="G164" s="151"/>
      <c r="H164" s="117"/>
    </row>
    <row r="165" spans="1:8">
      <c r="A165" s="116" t="s">
        <v>286</v>
      </c>
      <c r="B165" t="s">
        <v>461</v>
      </c>
      <c r="C165" s="117">
        <v>2.5000000000000001E-2</v>
      </c>
      <c r="D165" s="117">
        <f>ROUND((1+'Indicadores Financeiros'!$F$8)*(1+'Indicadores Financeiros'!$F$9)/(1-'Indicadores Financeiros'!$F$10-'Indicadores Financeiros'!$F$11-Tabela3[[#This Row],[ISS]])-1,4)</f>
        <v>0.21790000000000001</v>
      </c>
      <c r="G165" s="151"/>
      <c r="H165" s="117"/>
    </row>
    <row r="166" spans="1:8">
      <c r="A166" s="116" t="s">
        <v>286</v>
      </c>
      <c r="B166" t="s">
        <v>462</v>
      </c>
      <c r="C166" s="117">
        <v>0.02</v>
      </c>
      <c r="D166" s="117">
        <f>ROUND((1+'Indicadores Financeiros'!$F$8)*(1+'Indicadores Financeiros'!$F$9)/(1-'Indicadores Financeiros'!$F$10-'Indicadores Financeiros'!$F$11-Tabela3[[#This Row],[ISS]])-1,4)</f>
        <v>0.2114</v>
      </c>
      <c r="G166" s="151"/>
      <c r="H166" s="117"/>
    </row>
    <row r="167" spans="1:8">
      <c r="A167" s="116" t="s">
        <v>294</v>
      </c>
      <c r="B167" t="s">
        <v>463</v>
      </c>
      <c r="C167" s="117">
        <v>0.02</v>
      </c>
      <c r="D167" s="117">
        <f>ROUND((1+'Indicadores Financeiros'!$F$8)*(1+'Indicadores Financeiros'!$F$9)/(1-'Indicadores Financeiros'!$F$10-'Indicadores Financeiros'!$F$11-Tabela3[[#This Row],[ISS]])-1,4)</f>
        <v>0.2114</v>
      </c>
      <c r="G167" s="151"/>
      <c r="H167" s="117"/>
    </row>
    <row r="168" spans="1:8">
      <c r="A168" s="116" t="s">
        <v>310</v>
      </c>
      <c r="B168" t="s">
        <v>464</v>
      </c>
      <c r="C168" s="117">
        <v>0.03</v>
      </c>
      <c r="D168" s="117">
        <f>ROUND((1+'Indicadores Financeiros'!$F$8)*(1+'Indicadores Financeiros'!$F$9)/(1-'Indicadores Financeiros'!$F$10-'Indicadores Financeiros'!$F$11-Tabela3[[#This Row],[ISS]])-1,4)</f>
        <v>0.22439999999999999</v>
      </c>
      <c r="G168" s="151"/>
      <c r="H168" s="117"/>
    </row>
    <row r="169" spans="1:8">
      <c r="A169" s="116" t="s">
        <v>294</v>
      </c>
      <c r="B169" t="s">
        <v>465</v>
      </c>
      <c r="C169" s="117">
        <v>0.03</v>
      </c>
      <c r="D169" s="117">
        <f>ROUND((1+'Indicadores Financeiros'!$F$8)*(1+'Indicadores Financeiros'!$F$9)/(1-'Indicadores Financeiros'!$F$10-'Indicadores Financeiros'!$F$11-Tabela3[[#This Row],[ISS]])-1,4)</f>
        <v>0.22439999999999999</v>
      </c>
      <c r="G169" s="151"/>
      <c r="H169" s="117"/>
    </row>
    <row r="170" spans="1:8">
      <c r="A170" s="116" t="s">
        <v>326</v>
      </c>
      <c r="B170" t="s">
        <v>466</v>
      </c>
      <c r="C170" s="117">
        <v>0.03</v>
      </c>
      <c r="D170" s="117">
        <f>ROUND((1+'Indicadores Financeiros'!$F$8)*(1+'Indicadores Financeiros'!$F$9)/(1-'Indicadores Financeiros'!$F$10-'Indicadores Financeiros'!$F$11-Tabela3[[#This Row],[ISS]])-1,4)</f>
        <v>0.22439999999999999</v>
      </c>
      <c r="G170" s="151"/>
      <c r="H170" s="117"/>
    </row>
    <row r="171" spans="1:8">
      <c r="A171" s="116" t="s">
        <v>299</v>
      </c>
      <c r="B171" t="s">
        <v>467</v>
      </c>
      <c r="C171" s="117">
        <v>0.05</v>
      </c>
      <c r="D171" s="117">
        <f>ROUND((1+'Indicadores Financeiros'!$F$8)*(1+'Indicadores Financeiros'!$F$9)/(1-'Indicadores Financeiros'!$F$10-'Indicadores Financeiros'!$F$11-Tabela3[[#This Row],[ISS]])-1,4)</f>
        <v>0.25119999999999998</v>
      </c>
      <c r="G171" s="151"/>
      <c r="H171" s="117"/>
    </row>
    <row r="172" spans="1:8">
      <c r="A172" s="116" t="s">
        <v>286</v>
      </c>
      <c r="B172" t="s">
        <v>468</v>
      </c>
      <c r="C172" s="117">
        <v>0.05</v>
      </c>
      <c r="D172" s="117">
        <f>ROUND((1+'Indicadores Financeiros'!$F$8)*(1+'Indicadores Financeiros'!$F$9)/(1-'Indicadores Financeiros'!$F$10-'Indicadores Financeiros'!$F$11-Tabela3[[#This Row],[ISS]])-1,4)</f>
        <v>0.25119999999999998</v>
      </c>
      <c r="G172" s="151"/>
      <c r="H172" s="117"/>
    </row>
    <row r="173" spans="1:8">
      <c r="A173" s="116" t="s">
        <v>319</v>
      </c>
      <c r="B173" t="s">
        <v>469</v>
      </c>
      <c r="C173" s="117">
        <v>0.03</v>
      </c>
      <c r="D173" s="117">
        <f>ROUND((1+'Indicadores Financeiros'!$F$8)*(1+'Indicadores Financeiros'!$F$9)/(1-'Indicadores Financeiros'!$F$10-'Indicadores Financeiros'!$F$11-Tabela3[[#This Row],[ISS]])-1,4)</f>
        <v>0.22439999999999999</v>
      </c>
      <c r="G173" s="151"/>
      <c r="H173" s="117"/>
    </row>
    <row r="174" spans="1:8">
      <c r="A174" s="116" t="s">
        <v>294</v>
      </c>
      <c r="B174" t="s">
        <v>470</v>
      </c>
      <c r="C174" s="117">
        <v>0.05</v>
      </c>
      <c r="D174" s="117">
        <f>ROUND((1+'Indicadores Financeiros'!$F$8)*(1+'Indicadores Financeiros'!$F$9)/(1-'Indicadores Financeiros'!$F$10-'Indicadores Financeiros'!$F$11-Tabela3[[#This Row],[ISS]])-1,4)</f>
        <v>0.25119999999999998</v>
      </c>
      <c r="G174" s="151"/>
      <c r="H174" s="117"/>
    </row>
    <row r="175" spans="1:8">
      <c r="A175" s="116" t="s">
        <v>310</v>
      </c>
      <c r="B175" t="s">
        <v>471</v>
      </c>
      <c r="C175" s="117">
        <v>0.03</v>
      </c>
      <c r="D175" s="117">
        <f>ROUND((1+'Indicadores Financeiros'!$F$8)*(1+'Indicadores Financeiros'!$F$9)/(1-'Indicadores Financeiros'!$F$10-'Indicadores Financeiros'!$F$11-Tabela3[[#This Row],[ISS]])-1,4)</f>
        <v>0.22439999999999999</v>
      </c>
      <c r="G175" s="151"/>
      <c r="H175" s="117"/>
    </row>
    <row r="176" spans="1:8">
      <c r="A176" s="116" t="s">
        <v>288</v>
      </c>
      <c r="B176" t="s">
        <v>472</v>
      </c>
      <c r="C176" s="117">
        <v>0.03</v>
      </c>
      <c r="D176" s="117">
        <f>ROUND((1+'Indicadores Financeiros'!$F$8)*(1+'Indicadores Financeiros'!$F$9)/(1-'Indicadores Financeiros'!$F$10-'Indicadores Financeiros'!$F$11-Tabela3[[#This Row],[ISS]])-1,4)</f>
        <v>0.22439999999999999</v>
      </c>
      <c r="G176" s="151"/>
      <c r="H176" s="117"/>
    </row>
    <row r="177" spans="1:8">
      <c r="A177" s="116" t="s">
        <v>288</v>
      </c>
      <c r="B177" t="s">
        <v>473</v>
      </c>
      <c r="C177" s="117">
        <v>0.03</v>
      </c>
      <c r="D177" s="117">
        <f>ROUND((1+'Indicadores Financeiros'!$F$8)*(1+'Indicadores Financeiros'!$F$9)/(1-'Indicadores Financeiros'!$F$10-'Indicadores Financeiros'!$F$11-Tabela3[[#This Row],[ISS]])-1,4)</f>
        <v>0.22439999999999999</v>
      </c>
      <c r="G177" s="151"/>
      <c r="H177" s="117"/>
    </row>
    <row r="178" spans="1:8">
      <c r="A178" s="116" t="s">
        <v>326</v>
      </c>
      <c r="B178" t="s">
        <v>474</v>
      </c>
      <c r="C178" s="117">
        <v>0.05</v>
      </c>
      <c r="D178" s="117">
        <f>ROUND((1+'Indicadores Financeiros'!$F$8)*(1+'Indicadores Financeiros'!$F$9)/(1-'Indicadores Financeiros'!$F$10-'Indicadores Financeiros'!$F$11-Tabela3[[#This Row],[ISS]])-1,4)</f>
        <v>0.25119999999999998</v>
      </c>
      <c r="G178" s="151"/>
      <c r="H178" s="117"/>
    </row>
    <row r="179" spans="1:8">
      <c r="A179" s="116" t="s">
        <v>294</v>
      </c>
      <c r="B179" t="s">
        <v>475</v>
      </c>
      <c r="C179" s="117">
        <v>0.03</v>
      </c>
      <c r="D179" s="117">
        <f>ROUND((1+'Indicadores Financeiros'!$F$8)*(1+'Indicadores Financeiros'!$F$9)/(1-'Indicadores Financeiros'!$F$10-'Indicadores Financeiros'!$F$11-Tabela3[[#This Row],[ISS]])-1,4)</f>
        <v>0.22439999999999999</v>
      </c>
      <c r="G179" s="151"/>
      <c r="H179" s="117"/>
    </row>
    <row r="180" spans="1:8">
      <c r="A180" s="116" t="s">
        <v>319</v>
      </c>
      <c r="B180" t="s">
        <v>476</v>
      </c>
      <c r="C180" s="117">
        <v>0.03</v>
      </c>
      <c r="D180" s="117">
        <f>ROUND((1+'Indicadores Financeiros'!$F$8)*(1+'Indicadores Financeiros'!$F$9)/(1-'Indicadores Financeiros'!$F$10-'Indicadores Financeiros'!$F$11-Tabela3[[#This Row],[ISS]])-1,4)</f>
        <v>0.22439999999999999</v>
      </c>
      <c r="G180" s="151"/>
      <c r="H180" s="117"/>
    </row>
    <row r="181" spans="1:8">
      <c r="A181" s="116" t="s">
        <v>319</v>
      </c>
      <c r="B181" t="s">
        <v>477</v>
      </c>
      <c r="C181" s="117">
        <v>0.03</v>
      </c>
      <c r="D181" s="117">
        <f>ROUND((1+'Indicadores Financeiros'!$F$8)*(1+'Indicadores Financeiros'!$F$9)/(1-'Indicadores Financeiros'!$F$10-'Indicadores Financeiros'!$F$11-Tabela3[[#This Row],[ISS]])-1,4)</f>
        <v>0.22439999999999999</v>
      </c>
      <c r="G181" s="151"/>
      <c r="H181" s="117"/>
    </row>
    <row r="182" spans="1:8">
      <c r="A182" s="116" t="s">
        <v>288</v>
      </c>
      <c r="B182" t="s">
        <v>478</v>
      </c>
      <c r="C182" s="117">
        <v>0.02</v>
      </c>
      <c r="D182" s="117">
        <f>ROUND((1+'Indicadores Financeiros'!$F$8)*(1+'Indicadores Financeiros'!$F$9)/(1-'Indicadores Financeiros'!$F$10-'Indicadores Financeiros'!$F$11-Tabela3[[#This Row],[ISS]])-1,4)</f>
        <v>0.2114</v>
      </c>
      <c r="G182" s="151"/>
      <c r="H182" s="117"/>
    </row>
    <row r="183" spans="1:8">
      <c r="A183" s="116" t="s">
        <v>294</v>
      </c>
      <c r="B183" t="s">
        <v>479</v>
      </c>
      <c r="C183" s="117">
        <v>0.03</v>
      </c>
      <c r="D183" s="117">
        <f>ROUND((1+'Indicadores Financeiros'!$F$8)*(1+'Indicadores Financeiros'!$F$9)/(1-'Indicadores Financeiros'!$F$10-'Indicadores Financeiros'!$F$11-Tabela3[[#This Row],[ISS]])-1,4)</f>
        <v>0.22439999999999999</v>
      </c>
      <c r="G183" s="151"/>
      <c r="H183" s="117"/>
    </row>
    <row r="184" spans="1:8">
      <c r="A184" s="116" t="s">
        <v>288</v>
      </c>
      <c r="B184" t="s">
        <v>480</v>
      </c>
      <c r="C184" s="117">
        <v>0.05</v>
      </c>
      <c r="D184" s="117">
        <f>ROUND((1+'Indicadores Financeiros'!$F$8)*(1+'Indicadores Financeiros'!$F$9)/(1-'Indicadores Financeiros'!$F$10-'Indicadores Financeiros'!$F$11-Tabela3[[#This Row],[ISS]])-1,4)</f>
        <v>0.25119999999999998</v>
      </c>
      <c r="G184" s="151"/>
      <c r="H184" s="117"/>
    </row>
    <row r="185" spans="1:8">
      <c r="A185" s="116" t="s">
        <v>319</v>
      </c>
      <c r="B185" t="s">
        <v>481</v>
      </c>
      <c r="C185" s="117">
        <v>0.05</v>
      </c>
      <c r="D185" s="117">
        <f>ROUND((1+'Indicadores Financeiros'!$F$8)*(1+'Indicadores Financeiros'!$F$9)/(1-'Indicadores Financeiros'!$F$10-'Indicadores Financeiros'!$F$11-Tabela3[[#This Row],[ISS]])-1,4)</f>
        <v>0.25119999999999998</v>
      </c>
      <c r="G185" s="151"/>
      <c r="H185" s="117"/>
    </row>
    <row r="186" spans="1:8">
      <c r="A186" s="116" t="s">
        <v>319</v>
      </c>
      <c r="B186" t="s">
        <v>482</v>
      </c>
      <c r="C186" s="117">
        <v>0.03</v>
      </c>
      <c r="D186" s="117">
        <f>ROUND((1+'Indicadores Financeiros'!$F$8)*(1+'Indicadores Financeiros'!$F$9)/(1-'Indicadores Financeiros'!$F$10-'Indicadores Financeiros'!$F$11-Tabela3[[#This Row],[ISS]])-1,4)</f>
        <v>0.22439999999999999</v>
      </c>
      <c r="G186" s="151"/>
      <c r="H186" s="117"/>
    </row>
    <row r="187" spans="1:8">
      <c r="A187" s="116" t="s">
        <v>319</v>
      </c>
      <c r="B187" t="s">
        <v>483</v>
      </c>
      <c r="C187" s="117">
        <v>0.03</v>
      </c>
      <c r="D187" s="117">
        <f>ROUND((1+'Indicadores Financeiros'!$F$8)*(1+'Indicadores Financeiros'!$F$9)/(1-'Indicadores Financeiros'!$F$10-'Indicadores Financeiros'!$F$11-Tabela3[[#This Row],[ISS]])-1,4)</f>
        <v>0.22439999999999999</v>
      </c>
      <c r="G187" s="151"/>
      <c r="H187" s="117"/>
    </row>
    <row r="188" spans="1:8">
      <c r="A188" s="116" t="s">
        <v>288</v>
      </c>
      <c r="B188" t="s">
        <v>484</v>
      </c>
      <c r="C188" s="117">
        <v>0.05</v>
      </c>
      <c r="D188" s="117">
        <f>ROUND((1+'Indicadores Financeiros'!$F$8)*(1+'Indicadores Financeiros'!$F$9)/(1-'Indicadores Financeiros'!$F$10-'Indicadores Financeiros'!$F$11-Tabela3[[#This Row],[ISS]])-1,4)</f>
        <v>0.25119999999999998</v>
      </c>
      <c r="G188" s="151"/>
      <c r="H188" s="117"/>
    </row>
    <row r="189" spans="1:8">
      <c r="A189" s="116" t="s">
        <v>319</v>
      </c>
      <c r="B189" t="s">
        <v>485</v>
      </c>
      <c r="C189" s="117">
        <v>0.03</v>
      </c>
      <c r="D189" s="117">
        <f>ROUND((1+'Indicadores Financeiros'!$F$8)*(1+'Indicadores Financeiros'!$F$9)/(1-'Indicadores Financeiros'!$F$10-'Indicadores Financeiros'!$F$11-Tabela3[[#This Row],[ISS]])-1,4)</f>
        <v>0.22439999999999999</v>
      </c>
      <c r="G189" s="151"/>
      <c r="H189" s="117"/>
    </row>
    <row r="190" spans="1:8">
      <c r="A190" s="116" t="s">
        <v>294</v>
      </c>
      <c r="B190" t="s">
        <v>486</v>
      </c>
      <c r="C190" s="117">
        <v>0.02</v>
      </c>
      <c r="D190" s="117">
        <f>ROUND((1+'Indicadores Financeiros'!$F$8)*(1+'Indicadores Financeiros'!$F$9)/(1-'Indicadores Financeiros'!$F$10-'Indicadores Financeiros'!$F$11-Tabela3[[#This Row],[ISS]])-1,4)</f>
        <v>0.2114</v>
      </c>
      <c r="G190" s="151"/>
      <c r="H190" s="117"/>
    </row>
    <row r="191" spans="1:8">
      <c r="A191" s="116" t="s">
        <v>319</v>
      </c>
      <c r="B191" t="s">
        <v>487</v>
      </c>
      <c r="C191" s="117">
        <v>0.04</v>
      </c>
      <c r="D191" s="117">
        <f>ROUND((1+'Indicadores Financeiros'!$F$8)*(1+'Indicadores Financeiros'!$F$9)/(1-'Indicadores Financeiros'!$F$10-'Indicadores Financeiros'!$F$11-Tabela3[[#This Row],[ISS]])-1,4)</f>
        <v>0.23760000000000001</v>
      </c>
      <c r="G191" s="151"/>
      <c r="H191" s="117"/>
    </row>
    <row r="192" spans="1:8">
      <c r="A192" s="116" t="s">
        <v>294</v>
      </c>
      <c r="B192" t="s">
        <v>488</v>
      </c>
      <c r="C192" s="117">
        <v>0.03</v>
      </c>
      <c r="D192" s="117">
        <f>ROUND((1+'Indicadores Financeiros'!$F$8)*(1+'Indicadores Financeiros'!$F$9)/(1-'Indicadores Financeiros'!$F$10-'Indicadores Financeiros'!$F$11-Tabela3[[#This Row],[ISS]])-1,4)</f>
        <v>0.22439999999999999</v>
      </c>
      <c r="G192" s="151"/>
      <c r="H192" s="117"/>
    </row>
    <row r="193" spans="1:8">
      <c r="A193" s="116" t="s">
        <v>310</v>
      </c>
      <c r="B193" t="s">
        <v>489</v>
      </c>
      <c r="C193" s="117">
        <v>0.05</v>
      </c>
      <c r="D193" s="117">
        <f>ROUND((1+'Indicadores Financeiros'!$F$8)*(1+'Indicadores Financeiros'!$F$9)/(1-'Indicadores Financeiros'!$F$10-'Indicadores Financeiros'!$F$11-Tabela3[[#This Row],[ISS]])-1,4)</f>
        <v>0.25119999999999998</v>
      </c>
      <c r="G193" s="151"/>
      <c r="H193" s="117"/>
    </row>
    <row r="194" spans="1:8">
      <c r="A194" s="116" t="s">
        <v>286</v>
      </c>
      <c r="B194" t="s">
        <v>490</v>
      </c>
      <c r="C194" s="117">
        <v>0.03</v>
      </c>
      <c r="D194" s="117">
        <f>ROUND((1+'Indicadores Financeiros'!$F$8)*(1+'Indicadores Financeiros'!$F$9)/(1-'Indicadores Financeiros'!$F$10-'Indicadores Financeiros'!$F$11-Tabela3[[#This Row],[ISS]])-1,4)</f>
        <v>0.22439999999999999</v>
      </c>
      <c r="G194" s="151"/>
      <c r="H194" s="117"/>
    </row>
    <row r="195" spans="1:8">
      <c r="A195" s="116" t="s">
        <v>292</v>
      </c>
      <c r="B195" t="s">
        <v>491</v>
      </c>
      <c r="C195" s="117">
        <v>0.03</v>
      </c>
      <c r="D195" s="117">
        <f>ROUND((1+'Indicadores Financeiros'!$F$8)*(1+'Indicadores Financeiros'!$F$9)/(1-'Indicadores Financeiros'!$F$10-'Indicadores Financeiros'!$F$11-Tabela3[[#This Row],[ISS]])-1,4)</f>
        <v>0.22439999999999999</v>
      </c>
      <c r="G195" s="151"/>
      <c r="H195" s="117"/>
    </row>
    <row r="196" spans="1:8">
      <c r="A196" s="116" t="s">
        <v>319</v>
      </c>
      <c r="B196" t="s">
        <v>492</v>
      </c>
      <c r="C196" s="117">
        <v>0.05</v>
      </c>
      <c r="D196" s="117">
        <f>ROUND((1+'Indicadores Financeiros'!$F$8)*(1+'Indicadores Financeiros'!$F$9)/(1-'Indicadores Financeiros'!$F$10-'Indicadores Financeiros'!$F$11-Tabela3[[#This Row],[ISS]])-1,4)</f>
        <v>0.25119999999999998</v>
      </c>
      <c r="G196" s="151"/>
      <c r="H196" s="117"/>
    </row>
    <row r="197" spans="1:8">
      <c r="A197" s="116" t="s">
        <v>286</v>
      </c>
      <c r="B197" t="s">
        <v>493</v>
      </c>
      <c r="C197" s="117">
        <v>0.05</v>
      </c>
      <c r="D197" s="117">
        <f>ROUND((1+'Indicadores Financeiros'!$F$8)*(1+'Indicadores Financeiros'!$F$9)/(1-'Indicadores Financeiros'!$F$10-'Indicadores Financeiros'!$F$11-Tabela3[[#This Row],[ISS]])-1,4)</f>
        <v>0.25119999999999998</v>
      </c>
      <c r="G197" s="151"/>
      <c r="H197" s="117"/>
    </row>
    <row r="198" spans="1:8">
      <c r="A198" s="116" t="s">
        <v>319</v>
      </c>
      <c r="B198" t="s">
        <v>494</v>
      </c>
      <c r="C198" s="117">
        <v>0.05</v>
      </c>
      <c r="D198" s="117">
        <f>ROUND((1+'Indicadores Financeiros'!$F$8)*(1+'Indicadores Financeiros'!$F$9)/(1-'Indicadores Financeiros'!$F$10-'Indicadores Financeiros'!$F$11-Tabela3[[#This Row],[ISS]])-1,4)</f>
        <v>0.25119999999999998</v>
      </c>
      <c r="G198" s="151"/>
      <c r="H198" s="117"/>
    </row>
    <row r="199" spans="1:8">
      <c r="A199" s="116" t="s">
        <v>299</v>
      </c>
      <c r="B199" t="s">
        <v>495</v>
      </c>
      <c r="C199" s="117">
        <v>0.05</v>
      </c>
      <c r="D199" s="117">
        <f>ROUND((1+'Indicadores Financeiros'!$F$8)*(1+'Indicadores Financeiros'!$F$9)/(1-'Indicadores Financeiros'!$F$10-'Indicadores Financeiros'!$F$11-Tabela3[[#This Row],[ISS]])-1,4)</f>
        <v>0.25119999999999998</v>
      </c>
      <c r="G199" s="151"/>
      <c r="H199" s="117"/>
    </row>
    <row r="200" spans="1:8">
      <c r="A200" s="116" t="s">
        <v>286</v>
      </c>
      <c r="B200" t="s">
        <v>496</v>
      </c>
      <c r="C200" s="117">
        <v>0.05</v>
      </c>
      <c r="D200" s="117">
        <f>ROUND((1+'Indicadores Financeiros'!$F$8)*(1+'Indicadores Financeiros'!$F$9)/(1-'Indicadores Financeiros'!$F$10-'Indicadores Financeiros'!$F$11-Tabela3[[#This Row],[ISS]])-1,4)</f>
        <v>0.25119999999999998</v>
      </c>
      <c r="G200" s="151"/>
      <c r="H200" s="117"/>
    </row>
    <row r="201" spans="1:8">
      <c r="A201" s="116" t="s">
        <v>286</v>
      </c>
      <c r="B201" t="s">
        <v>497</v>
      </c>
      <c r="C201" s="117">
        <v>0.03</v>
      </c>
      <c r="D201" s="117">
        <f>ROUND((1+'Indicadores Financeiros'!$F$8)*(1+'Indicadores Financeiros'!$F$9)/(1-'Indicadores Financeiros'!$F$10-'Indicadores Financeiros'!$F$11-Tabela3[[#This Row],[ISS]])-1,4)</f>
        <v>0.22439999999999999</v>
      </c>
      <c r="G201" s="151"/>
      <c r="H201" s="117"/>
    </row>
    <row r="202" spans="1:8">
      <c r="A202" s="116" t="s">
        <v>286</v>
      </c>
      <c r="B202" t="s">
        <v>498</v>
      </c>
      <c r="C202" s="117">
        <v>0.05</v>
      </c>
      <c r="D202" s="117">
        <f>ROUND((1+'Indicadores Financeiros'!$F$8)*(1+'Indicadores Financeiros'!$F$9)/(1-'Indicadores Financeiros'!$F$10-'Indicadores Financeiros'!$F$11-Tabela3[[#This Row],[ISS]])-1,4)</f>
        <v>0.25119999999999998</v>
      </c>
      <c r="G202" s="151"/>
      <c r="H202" s="117"/>
    </row>
    <row r="203" spans="1:8">
      <c r="A203" s="116" t="s">
        <v>303</v>
      </c>
      <c r="B203" t="s">
        <v>499</v>
      </c>
      <c r="C203" s="117">
        <v>0.02</v>
      </c>
      <c r="D203" s="117">
        <f>ROUND((1+'Indicadores Financeiros'!$F$8)*(1+'Indicadores Financeiros'!$F$9)/(1-'Indicadores Financeiros'!$F$10-'Indicadores Financeiros'!$F$11-Tabela3[[#This Row],[ISS]])-1,4)</f>
        <v>0.2114</v>
      </c>
      <c r="G203" s="151"/>
      <c r="H203" s="117"/>
    </row>
    <row r="204" spans="1:8">
      <c r="A204" s="116" t="s">
        <v>292</v>
      </c>
      <c r="B204" t="s">
        <v>500</v>
      </c>
      <c r="C204" s="117">
        <v>0.05</v>
      </c>
      <c r="D204" s="117">
        <f>ROUND((1+'Indicadores Financeiros'!$F$8)*(1+'Indicadores Financeiros'!$F$9)/(1-'Indicadores Financeiros'!$F$10-'Indicadores Financeiros'!$F$11-Tabela3[[#This Row],[ISS]])-1,4)</f>
        <v>0.25119999999999998</v>
      </c>
      <c r="G204" s="151"/>
      <c r="H204" s="117"/>
    </row>
    <row r="205" spans="1:8">
      <c r="A205" s="116" t="s">
        <v>326</v>
      </c>
      <c r="B205" t="s">
        <v>501</v>
      </c>
      <c r="C205" s="117">
        <v>0.03</v>
      </c>
      <c r="D205" s="117">
        <f>ROUND((1+'Indicadores Financeiros'!$F$8)*(1+'Indicadores Financeiros'!$F$9)/(1-'Indicadores Financeiros'!$F$10-'Indicadores Financeiros'!$F$11-Tabela3[[#This Row],[ISS]])-1,4)</f>
        <v>0.22439999999999999</v>
      </c>
      <c r="G205" s="151"/>
      <c r="H205" s="117"/>
    </row>
    <row r="206" spans="1:8">
      <c r="A206" s="116" t="s">
        <v>294</v>
      </c>
      <c r="B206" t="s">
        <v>502</v>
      </c>
      <c r="C206" s="117">
        <v>0.05</v>
      </c>
      <c r="D206" s="117">
        <f>ROUND((1+'Indicadores Financeiros'!$F$8)*(1+'Indicadores Financeiros'!$F$9)/(1-'Indicadores Financeiros'!$F$10-'Indicadores Financeiros'!$F$11-Tabela3[[#This Row],[ISS]])-1,4)</f>
        <v>0.25119999999999998</v>
      </c>
      <c r="G206" s="151"/>
      <c r="H206" s="117"/>
    </row>
    <row r="207" spans="1:8">
      <c r="A207" s="116" t="s">
        <v>288</v>
      </c>
      <c r="B207" t="s">
        <v>503</v>
      </c>
      <c r="C207" s="117">
        <v>0.05</v>
      </c>
      <c r="D207" s="117">
        <f>ROUND((1+'Indicadores Financeiros'!$F$8)*(1+'Indicadores Financeiros'!$F$9)/(1-'Indicadores Financeiros'!$F$10-'Indicadores Financeiros'!$F$11-Tabela3[[#This Row],[ISS]])-1,4)</f>
        <v>0.25119999999999998</v>
      </c>
      <c r="G207" s="151"/>
      <c r="H207" s="117"/>
    </row>
    <row r="208" spans="1:8">
      <c r="A208" s="116" t="s">
        <v>319</v>
      </c>
      <c r="B208" t="s">
        <v>504</v>
      </c>
      <c r="C208" s="117">
        <v>0.05</v>
      </c>
      <c r="D208" s="117">
        <f>ROUND((1+'Indicadores Financeiros'!$F$8)*(1+'Indicadores Financeiros'!$F$9)/(1-'Indicadores Financeiros'!$F$10-'Indicadores Financeiros'!$F$11-Tabela3[[#This Row],[ISS]])-1,4)</f>
        <v>0.25119999999999998</v>
      </c>
      <c r="G208" s="151"/>
      <c r="H208" s="117"/>
    </row>
    <row r="209" spans="1:8">
      <c r="A209" s="116" t="s">
        <v>292</v>
      </c>
      <c r="B209" t="s">
        <v>505</v>
      </c>
      <c r="C209" s="117">
        <v>0.02</v>
      </c>
      <c r="D209" s="117">
        <f>ROUND((1+'Indicadores Financeiros'!$F$8)*(1+'Indicadores Financeiros'!$F$9)/(1-'Indicadores Financeiros'!$F$10-'Indicadores Financeiros'!$F$11-Tabela3[[#This Row],[ISS]])-1,4)</f>
        <v>0.2114</v>
      </c>
      <c r="G209" s="151"/>
      <c r="H209" s="117"/>
    </row>
    <row r="210" spans="1:8">
      <c r="A210" s="116" t="s">
        <v>294</v>
      </c>
      <c r="B210" t="s">
        <v>506</v>
      </c>
      <c r="C210" s="117">
        <v>0.05</v>
      </c>
      <c r="D210" s="117">
        <f>ROUND((1+'Indicadores Financeiros'!$F$8)*(1+'Indicadores Financeiros'!$F$9)/(1-'Indicadores Financeiros'!$F$10-'Indicadores Financeiros'!$F$11-Tabela3[[#This Row],[ISS]])-1,4)</f>
        <v>0.25119999999999998</v>
      </c>
      <c r="G210" s="151"/>
      <c r="H210" s="117"/>
    </row>
    <row r="211" spans="1:8">
      <c r="A211" s="116" t="s">
        <v>288</v>
      </c>
      <c r="B211" t="s">
        <v>507</v>
      </c>
      <c r="C211" s="117">
        <v>0.05</v>
      </c>
      <c r="D211" s="117">
        <f>ROUND((1+'Indicadores Financeiros'!$F$8)*(1+'Indicadores Financeiros'!$F$9)/(1-'Indicadores Financeiros'!$F$10-'Indicadores Financeiros'!$F$11-Tabela3[[#This Row],[ISS]])-1,4)</f>
        <v>0.25119999999999998</v>
      </c>
      <c r="G211" s="151"/>
      <c r="H211" s="117"/>
    </row>
    <row r="212" spans="1:8">
      <c r="A212" s="116" t="s">
        <v>299</v>
      </c>
      <c r="B212" t="s">
        <v>508</v>
      </c>
      <c r="C212" s="150">
        <v>0.03</v>
      </c>
      <c r="D212" s="117">
        <f>ROUND((1+'Indicadores Financeiros'!$F$8)*(1+'Indicadores Financeiros'!$F$9)/(1-'Indicadores Financeiros'!$F$10-'Indicadores Financeiros'!$F$11-Tabela3[[#This Row],[ISS]])-1,4)</f>
        <v>0.22439999999999999</v>
      </c>
      <c r="E212" t="s">
        <v>509</v>
      </c>
      <c r="G212" s="151"/>
      <c r="H212" s="117"/>
    </row>
    <row r="213" spans="1:8">
      <c r="A213" s="116" t="s">
        <v>299</v>
      </c>
      <c r="B213" t="s">
        <v>510</v>
      </c>
      <c r="C213" s="117">
        <v>0.04</v>
      </c>
      <c r="D213" s="117">
        <f>ROUND((1+'Indicadores Financeiros'!$F$8)*(1+'Indicadores Financeiros'!$F$9)/(1-'Indicadores Financeiros'!$F$10-'Indicadores Financeiros'!$F$11-Tabela3[[#This Row],[ISS]])-1,4)</f>
        <v>0.23760000000000001</v>
      </c>
      <c r="G213" s="151"/>
      <c r="H213" s="117"/>
    </row>
    <row r="214" spans="1:8">
      <c r="A214" s="116" t="s">
        <v>326</v>
      </c>
      <c r="B214" t="s">
        <v>511</v>
      </c>
      <c r="C214" s="117">
        <v>0.02</v>
      </c>
      <c r="D214" s="117">
        <f>ROUND((1+'Indicadores Financeiros'!$F$8)*(1+'Indicadores Financeiros'!$F$9)/(1-'Indicadores Financeiros'!$F$10-'Indicadores Financeiros'!$F$11-Tabela3[[#This Row],[ISS]])-1,4)</f>
        <v>0.2114</v>
      </c>
      <c r="G214" s="151"/>
      <c r="H214" s="117"/>
    </row>
    <row r="215" spans="1:8">
      <c r="A215" s="116" t="s">
        <v>301</v>
      </c>
      <c r="B215" t="s">
        <v>512</v>
      </c>
      <c r="C215" s="117">
        <v>0.03</v>
      </c>
      <c r="D215" s="117">
        <f>ROUND((1+'Indicadores Financeiros'!$F$8)*(1+'Indicadores Financeiros'!$F$9)/(1-'Indicadores Financeiros'!$F$10-'Indicadores Financeiros'!$F$11-Tabela3[[#This Row],[ISS]])-1,4)</f>
        <v>0.22439999999999999</v>
      </c>
      <c r="G215" s="151"/>
      <c r="H215" s="117"/>
    </row>
    <row r="216" spans="1:8">
      <c r="A216" s="116" t="s">
        <v>301</v>
      </c>
      <c r="B216" t="s">
        <v>513</v>
      </c>
      <c r="C216" s="117">
        <v>0.03</v>
      </c>
      <c r="D216" s="117">
        <f>ROUND((1+'Indicadores Financeiros'!$F$8)*(1+'Indicadores Financeiros'!$F$9)/(1-'Indicadores Financeiros'!$F$10-'Indicadores Financeiros'!$F$11-Tabela3[[#This Row],[ISS]])-1,4)</f>
        <v>0.22439999999999999</v>
      </c>
      <c r="G216" s="151"/>
      <c r="H216" s="117"/>
    </row>
    <row r="217" spans="1:8">
      <c r="A217" s="116" t="s">
        <v>303</v>
      </c>
      <c r="B217" t="s">
        <v>514</v>
      </c>
      <c r="C217" s="117">
        <v>0.05</v>
      </c>
      <c r="D217" s="117">
        <f>ROUND((1+'Indicadores Financeiros'!$F$8)*(1+'Indicadores Financeiros'!$F$9)/(1-'Indicadores Financeiros'!$F$10-'Indicadores Financeiros'!$F$11-Tabela3[[#This Row],[ISS]])-1,4)</f>
        <v>0.25119999999999998</v>
      </c>
      <c r="G217" s="151"/>
      <c r="H217" s="117"/>
    </row>
    <row r="218" spans="1:8">
      <c r="A218" s="116" t="s">
        <v>288</v>
      </c>
      <c r="B218" t="s">
        <v>515</v>
      </c>
      <c r="C218" s="117">
        <v>0.02</v>
      </c>
      <c r="D218" s="117">
        <f>ROUND((1+'Indicadores Financeiros'!$F$8)*(1+'Indicadores Financeiros'!$F$9)/(1-'Indicadores Financeiros'!$F$10-'Indicadores Financeiros'!$F$11-Tabela3[[#This Row],[ISS]])-1,4)</f>
        <v>0.2114</v>
      </c>
      <c r="G218" s="151"/>
      <c r="H218" s="117"/>
    </row>
    <row r="219" spans="1:8">
      <c r="A219" s="116" t="s">
        <v>303</v>
      </c>
      <c r="B219" t="s">
        <v>516</v>
      </c>
      <c r="C219" s="117">
        <v>0.05</v>
      </c>
      <c r="D219" s="117">
        <f>ROUND((1+'Indicadores Financeiros'!$F$8)*(1+'Indicadores Financeiros'!$F$9)/(1-'Indicadores Financeiros'!$F$10-'Indicadores Financeiros'!$F$11-Tabela3[[#This Row],[ISS]])-1,4)</f>
        <v>0.25119999999999998</v>
      </c>
      <c r="G219" s="151"/>
      <c r="H219" s="117"/>
    </row>
    <row r="220" spans="1:8">
      <c r="A220" s="116" t="s">
        <v>288</v>
      </c>
      <c r="B220" t="s">
        <v>517</v>
      </c>
      <c r="C220" s="117">
        <v>0.03</v>
      </c>
      <c r="D220" s="117">
        <f>ROUND((1+'Indicadores Financeiros'!$F$8)*(1+'Indicadores Financeiros'!$F$9)/(1-'Indicadores Financeiros'!$F$10-'Indicadores Financeiros'!$F$11-Tabela3[[#This Row],[ISS]])-1,4)</f>
        <v>0.22439999999999999</v>
      </c>
      <c r="G220" s="151"/>
      <c r="H220" s="117"/>
    </row>
    <row r="221" spans="1:8">
      <c r="A221" s="116" t="s">
        <v>288</v>
      </c>
      <c r="B221" t="s">
        <v>518</v>
      </c>
      <c r="C221" s="117">
        <v>0.05</v>
      </c>
      <c r="D221" s="117">
        <f>ROUND((1+'Indicadores Financeiros'!$F$8)*(1+'Indicadores Financeiros'!$F$9)/(1-'Indicadores Financeiros'!$F$10-'Indicadores Financeiros'!$F$11-Tabela3[[#This Row],[ISS]])-1,4)</f>
        <v>0.25119999999999998</v>
      </c>
      <c r="G221" s="151"/>
      <c r="H221" s="117"/>
    </row>
    <row r="222" spans="1:8">
      <c r="A222" s="116" t="s">
        <v>292</v>
      </c>
      <c r="B222" t="s">
        <v>519</v>
      </c>
      <c r="C222" s="117">
        <v>0.03</v>
      </c>
      <c r="D222" s="117">
        <f>ROUND((1+'Indicadores Financeiros'!$F$8)*(1+'Indicadores Financeiros'!$F$9)/(1-'Indicadores Financeiros'!$F$10-'Indicadores Financeiros'!$F$11-Tabela3[[#This Row],[ISS]])-1,4)</f>
        <v>0.22439999999999999</v>
      </c>
      <c r="G222" s="151"/>
      <c r="H222" s="117"/>
    </row>
    <row r="223" spans="1:8">
      <c r="A223" s="116" t="s">
        <v>292</v>
      </c>
      <c r="B223" t="s">
        <v>520</v>
      </c>
      <c r="C223" s="117">
        <v>0.05</v>
      </c>
      <c r="D223" s="117">
        <f>ROUND((1+'Indicadores Financeiros'!$F$8)*(1+'Indicadores Financeiros'!$F$9)/(1-'Indicadores Financeiros'!$F$10-'Indicadores Financeiros'!$F$11-Tabela3[[#This Row],[ISS]])-1,4)</f>
        <v>0.25119999999999998</v>
      </c>
      <c r="G223" s="151"/>
      <c r="H223" s="117"/>
    </row>
    <row r="224" spans="1:8">
      <c r="A224" s="116" t="s">
        <v>294</v>
      </c>
      <c r="B224" t="s">
        <v>521</v>
      </c>
      <c r="C224" s="117">
        <v>0.03</v>
      </c>
      <c r="D224" s="117">
        <f>ROUND((1+'Indicadores Financeiros'!$F$8)*(1+'Indicadores Financeiros'!$F$9)/(1-'Indicadores Financeiros'!$F$10-'Indicadores Financeiros'!$F$11-Tabela3[[#This Row],[ISS]])-1,4)</f>
        <v>0.22439999999999999</v>
      </c>
      <c r="G224" s="151"/>
      <c r="H224" s="117"/>
    </row>
    <row r="225" spans="1:8">
      <c r="A225" s="116" t="s">
        <v>286</v>
      </c>
      <c r="B225" t="s">
        <v>522</v>
      </c>
      <c r="C225" s="117">
        <v>0.03</v>
      </c>
      <c r="D225" s="117">
        <f>ROUND((1+'Indicadores Financeiros'!$F$8)*(1+'Indicadores Financeiros'!$F$9)/(1-'Indicadores Financeiros'!$F$10-'Indicadores Financeiros'!$F$11-Tabela3[[#This Row],[ISS]])-1,4)</f>
        <v>0.22439999999999999</v>
      </c>
      <c r="G225" s="151"/>
      <c r="H225" s="117"/>
    </row>
    <row r="226" spans="1:8">
      <c r="A226" s="116" t="s">
        <v>288</v>
      </c>
      <c r="B226" t="s">
        <v>523</v>
      </c>
      <c r="C226" s="117">
        <v>0.03</v>
      </c>
      <c r="D226" s="117">
        <f>ROUND((1+'Indicadores Financeiros'!$F$8)*(1+'Indicadores Financeiros'!$F$9)/(1-'Indicadores Financeiros'!$F$10-'Indicadores Financeiros'!$F$11-Tabela3[[#This Row],[ISS]])-1,4)</f>
        <v>0.22439999999999999</v>
      </c>
      <c r="G226" s="151"/>
      <c r="H226" s="117"/>
    </row>
    <row r="227" spans="1:8">
      <c r="A227" s="116" t="s">
        <v>292</v>
      </c>
      <c r="B227" t="s">
        <v>524</v>
      </c>
      <c r="C227" s="117">
        <v>0.03</v>
      </c>
      <c r="D227" s="117">
        <f>ROUND((1+'Indicadores Financeiros'!$F$8)*(1+'Indicadores Financeiros'!$F$9)/(1-'Indicadores Financeiros'!$F$10-'Indicadores Financeiros'!$F$11-Tabela3[[#This Row],[ISS]])-1,4)</f>
        <v>0.22439999999999999</v>
      </c>
      <c r="G227" s="151"/>
      <c r="H227" s="117"/>
    </row>
    <row r="228" spans="1:8">
      <c r="A228" s="116" t="s">
        <v>294</v>
      </c>
      <c r="B228" t="s">
        <v>525</v>
      </c>
      <c r="C228" s="117">
        <v>0.03</v>
      </c>
      <c r="D228" s="117">
        <f>ROUND((1+'Indicadores Financeiros'!$F$8)*(1+'Indicadores Financeiros'!$F$9)/(1-'Indicadores Financeiros'!$F$10-'Indicadores Financeiros'!$F$11-Tabela3[[#This Row],[ISS]])-1,4)</f>
        <v>0.22439999999999999</v>
      </c>
      <c r="G228" s="151"/>
      <c r="H228" s="117"/>
    </row>
    <row r="229" spans="1:8">
      <c r="A229" s="116" t="s">
        <v>310</v>
      </c>
      <c r="B229" t="s">
        <v>526</v>
      </c>
      <c r="C229" s="117">
        <v>0.02</v>
      </c>
      <c r="D229" s="117">
        <f>ROUND((1+'Indicadores Financeiros'!$F$8)*(1+'Indicadores Financeiros'!$F$9)/(1-'Indicadores Financeiros'!$F$10-'Indicadores Financeiros'!$F$11-Tabela3[[#This Row],[ISS]])-1,4)</f>
        <v>0.2114</v>
      </c>
      <c r="G229" s="151"/>
      <c r="H229" s="117"/>
    </row>
    <row r="230" spans="1:8">
      <c r="A230" s="116" t="s">
        <v>286</v>
      </c>
      <c r="B230" t="s">
        <v>527</v>
      </c>
      <c r="C230" s="117">
        <v>0.05</v>
      </c>
      <c r="D230" s="117">
        <f>ROUND((1+'Indicadores Financeiros'!$F$8)*(1+'Indicadores Financeiros'!$F$9)/(1-'Indicadores Financeiros'!$F$10-'Indicadores Financeiros'!$F$11-Tabela3[[#This Row],[ISS]])-1,4)</f>
        <v>0.25119999999999998</v>
      </c>
      <c r="G230" s="151"/>
      <c r="H230" s="117"/>
    </row>
    <row r="231" spans="1:8">
      <c r="A231" s="116" t="s">
        <v>294</v>
      </c>
      <c r="B231" t="s">
        <v>528</v>
      </c>
      <c r="C231" s="117">
        <v>0.05</v>
      </c>
      <c r="D231" s="117">
        <f>ROUND((1+'Indicadores Financeiros'!$F$8)*(1+'Indicadores Financeiros'!$F$9)/(1-'Indicadores Financeiros'!$F$10-'Indicadores Financeiros'!$F$11-Tabela3[[#This Row],[ISS]])-1,4)</f>
        <v>0.25119999999999998</v>
      </c>
      <c r="G231" s="151"/>
      <c r="H231" s="117"/>
    </row>
    <row r="232" spans="1:8">
      <c r="A232" s="116" t="s">
        <v>301</v>
      </c>
      <c r="B232" t="s">
        <v>529</v>
      </c>
      <c r="C232" s="117">
        <v>0.05</v>
      </c>
      <c r="D232" s="117">
        <f>ROUND((1+'Indicadores Financeiros'!$F$8)*(1+'Indicadores Financeiros'!$F$9)/(1-'Indicadores Financeiros'!$F$10-'Indicadores Financeiros'!$F$11-Tabela3[[#This Row],[ISS]])-1,4)</f>
        <v>0.25119999999999998</v>
      </c>
      <c r="G232" s="151"/>
      <c r="H232" s="117"/>
    </row>
    <row r="233" spans="1:8">
      <c r="A233" s="116" t="s">
        <v>301</v>
      </c>
      <c r="B233" t="s">
        <v>530</v>
      </c>
      <c r="C233" s="117">
        <v>0.05</v>
      </c>
      <c r="D233" s="117">
        <f>ROUND((1+'Indicadores Financeiros'!$F$8)*(1+'Indicadores Financeiros'!$F$9)/(1-'Indicadores Financeiros'!$F$10-'Indicadores Financeiros'!$F$11-Tabela3[[#This Row],[ISS]])-1,4)</f>
        <v>0.25119999999999998</v>
      </c>
      <c r="G233" s="151"/>
      <c r="H233" s="117"/>
    </row>
    <row r="234" spans="1:8">
      <c r="A234" s="116" t="s">
        <v>288</v>
      </c>
      <c r="B234" t="s">
        <v>531</v>
      </c>
      <c r="C234" s="117">
        <v>0.03</v>
      </c>
      <c r="D234" s="117">
        <f>ROUND((1+'Indicadores Financeiros'!$F$8)*(1+'Indicadores Financeiros'!$F$9)/(1-'Indicadores Financeiros'!$F$10-'Indicadores Financeiros'!$F$11-Tabela3[[#This Row],[ISS]])-1,4)</f>
        <v>0.22439999999999999</v>
      </c>
      <c r="G234" s="151"/>
      <c r="H234" s="117"/>
    </row>
    <row r="235" spans="1:8">
      <c r="A235" s="116" t="s">
        <v>319</v>
      </c>
      <c r="B235" t="s">
        <v>532</v>
      </c>
      <c r="C235" s="150">
        <v>0.03</v>
      </c>
      <c r="D235" s="117">
        <f>ROUND((1+'Indicadores Financeiros'!$F$8)*(1+'Indicadores Financeiros'!$F$9)/(1-'Indicadores Financeiros'!$F$10-'Indicadores Financeiros'!$F$11-Tabela3[[#This Row],[ISS]])-1,4)</f>
        <v>0.22439999999999999</v>
      </c>
      <c r="E235" t="s">
        <v>533</v>
      </c>
      <c r="G235" s="151"/>
      <c r="H235" s="117"/>
    </row>
    <row r="236" spans="1:8">
      <c r="A236" s="116" t="s">
        <v>326</v>
      </c>
      <c r="B236" t="s">
        <v>534</v>
      </c>
      <c r="C236" s="117">
        <v>0.03</v>
      </c>
      <c r="D236" s="117">
        <f>ROUND((1+'Indicadores Financeiros'!$F$8)*(1+'Indicadores Financeiros'!$F$9)/(1-'Indicadores Financeiros'!$F$10-'Indicadores Financeiros'!$F$11-Tabela3[[#This Row],[ISS]])-1,4)</f>
        <v>0.22439999999999999</v>
      </c>
      <c r="G236" s="151"/>
      <c r="H236" s="117"/>
    </row>
    <row r="237" spans="1:8">
      <c r="A237" s="116" t="s">
        <v>286</v>
      </c>
      <c r="B237" t="s">
        <v>535</v>
      </c>
      <c r="C237" s="117">
        <v>0.05</v>
      </c>
      <c r="D237" s="117">
        <f>ROUND((1+'Indicadores Financeiros'!$F$8)*(1+'Indicadores Financeiros'!$F$9)/(1-'Indicadores Financeiros'!$F$10-'Indicadores Financeiros'!$F$11-Tabela3[[#This Row],[ISS]])-1,4)</f>
        <v>0.25119999999999998</v>
      </c>
      <c r="G237" s="151"/>
      <c r="H237" s="117"/>
    </row>
    <row r="238" spans="1:8">
      <c r="A238" s="116" t="s">
        <v>286</v>
      </c>
      <c r="B238" t="s">
        <v>536</v>
      </c>
      <c r="C238" s="117">
        <v>0.05</v>
      </c>
      <c r="D238" s="117">
        <f>ROUND((1+'Indicadores Financeiros'!$F$8)*(1+'Indicadores Financeiros'!$F$9)/(1-'Indicadores Financeiros'!$F$10-'Indicadores Financeiros'!$F$11-Tabela3[[#This Row],[ISS]])-1,4)</f>
        <v>0.25119999999999998</v>
      </c>
      <c r="G238" s="151"/>
      <c r="H238" s="117"/>
    </row>
    <row r="239" spans="1:8">
      <c r="A239" s="116" t="s">
        <v>286</v>
      </c>
      <c r="B239" t="s">
        <v>537</v>
      </c>
      <c r="C239" s="117">
        <v>0.05</v>
      </c>
      <c r="D239" s="117">
        <f>ROUND((1+'Indicadores Financeiros'!$F$8)*(1+'Indicadores Financeiros'!$F$9)/(1-'Indicadores Financeiros'!$F$10-'Indicadores Financeiros'!$F$11-Tabela3[[#This Row],[ISS]])-1,4)</f>
        <v>0.25119999999999998</v>
      </c>
      <c r="G239" s="151"/>
      <c r="H239" s="117"/>
    </row>
    <row r="240" spans="1:8">
      <c r="A240" s="116" t="s">
        <v>286</v>
      </c>
      <c r="B240" t="s">
        <v>538</v>
      </c>
      <c r="C240" s="117">
        <v>0.04</v>
      </c>
      <c r="D240" s="117">
        <f>ROUND((1+'Indicadores Financeiros'!$F$8)*(1+'Indicadores Financeiros'!$F$9)/(1-'Indicadores Financeiros'!$F$10-'Indicadores Financeiros'!$F$11-Tabela3[[#This Row],[ISS]])-1,4)</f>
        <v>0.23760000000000001</v>
      </c>
      <c r="G240" s="151"/>
      <c r="H240" s="117"/>
    </row>
    <row r="241" spans="1:8">
      <c r="A241" s="116" t="s">
        <v>299</v>
      </c>
      <c r="B241" t="s">
        <v>539</v>
      </c>
      <c r="C241" s="117">
        <v>0.02</v>
      </c>
      <c r="D241" s="117">
        <f>ROUND((1+'Indicadores Financeiros'!$F$8)*(1+'Indicadores Financeiros'!$F$9)/(1-'Indicadores Financeiros'!$F$10-'Indicadores Financeiros'!$F$11-Tabela3[[#This Row],[ISS]])-1,4)</f>
        <v>0.2114</v>
      </c>
      <c r="G241" s="151"/>
      <c r="H241" s="117"/>
    </row>
    <row r="242" spans="1:8">
      <c r="A242" s="116" t="s">
        <v>286</v>
      </c>
      <c r="B242" t="s">
        <v>540</v>
      </c>
      <c r="C242" s="117">
        <v>0.03</v>
      </c>
      <c r="D242" s="117">
        <f>ROUND((1+'Indicadores Financeiros'!$F$8)*(1+'Indicadores Financeiros'!$F$9)/(1-'Indicadores Financeiros'!$F$10-'Indicadores Financeiros'!$F$11-Tabela3[[#This Row],[ISS]])-1,4)</f>
        <v>0.22439999999999999</v>
      </c>
      <c r="G242" s="151"/>
      <c r="H242" s="117"/>
    </row>
    <row r="243" spans="1:8">
      <c r="A243" s="116" t="s">
        <v>303</v>
      </c>
      <c r="B243" t="s">
        <v>541</v>
      </c>
      <c r="C243" s="117">
        <v>0.05</v>
      </c>
      <c r="D243" s="117">
        <f>ROUND((1+'Indicadores Financeiros'!$F$8)*(1+'Indicadores Financeiros'!$F$9)/(1-'Indicadores Financeiros'!$F$10-'Indicadores Financeiros'!$F$11-Tabela3[[#This Row],[ISS]])-1,4)</f>
        <v>0.25119999999999998</v>
      </c>
      <c r="G243" s="151"/>
      <c r="H243" s="117"/>
    </row>
    <row r="244" spans="1:8">
      <c r="A244" s="116" t="s">
        <v>286</v>
      </c>
      <c r="B244" t="s">
        <v>542</v>
      </c>
      <c r="C244" s="117">
        <v>0.03</v>
      </c>
      <c r="D244" s="117">
        <f>ROUND((1+'Indicadores Financeiros'!$F$8)*(1+'Indicadores Financeiros'!$F$9)/(1-'Indicadores Financeiros'!$F$10-'Indicadores Financeiros'!$F$11-Tabela3[[#This Row],[ISS]])-1,4)</f>
        <v>0.22439999999999999</v>
      </c>
      <c r="G244" s="151"/>
      <c r="H244" s="117"/>
    </row>
    <row r="245" spans="1:8">
      <c r="A245" s="116" t="s">
        <v>286</v>
      </c>
      <c r="B245" t="s">
        <v>543</v>
      </c>
      <c r="C245" s="117">
        <v>0.03</v>
      </c>
      <c r="D245" s="117">
        <f>ROUND((1+'Indicadores Financeiros'!$F$8)*(1+'Indicadores Financeiros'!$F$9)/(1-'Indicadores Financeiros'!$F$10-'Indicadores Financeiros'!$F$11-Tabela3[[#This Row],[ISS]])-1,4)</f>
        <v>0.22439999999999999</v>
      </c>
      <c r="G245" s="151"/>
      <c r="H245" s="117"/>
    </row>
    <row r="246" spans="1:8">
      <c r="A246" s="116" t="s">
        <v>326</v>
      </c>
      <c r="B246" t="s">
        <v>544</v>
      </c>
      <c r="C246" s="117">
        <v>0.04</v>
      </c>
      <c r="D246" s="117">
        <f>ROUND((1+'Indicadores Financeiros'!$F$8)*(1+'Indicadores Financeiros'!$F$9)/(1-'Indicadores Financeiros'!$F$10-'Indicadores Financeiros'!$F$11-Tabela3[[#This Row],[ISS]])-1,4)</f>
        <v>0.23760000000000001</v>
      </c>
      <c r="G246" s="151"/>
      <c r="H246" s="117"/>
    </row>
    <row r="247" spans="1:8">
      <c r="A247" s="116" t="s">
        <v>294</v>
      </c>
      <c r="B247" t="s">
        <v>545</v>
      </c>
      <c r="C247" s="117">
        <v>0.02</v>
      </c>
      <c r="D247" s="117">
        <f>ROUND((1+'Indicadores Financeiros'!$F$8)*(1+'Indicadores Financeiros'!$F$9)/(1-'Indicadores Financeiros'!$F$10-'Indicadores Financeiros'!$F$11-Tabela3[[#This Row],[ISS]])-1,4)</f>
        <v>0.2114</v>
      </c>
      <c r="G247" s="151"/>
      <c r="H247" s="117"/>
    </row>
    <row r="248" spans="1:8">
      <c r="A248" s="116" t="s">
        <v>310</v>
      </c>
      <c r="B248" t="s">
        <v>546</v>
      </c>
      <c r="C248" s="117">
        <v>0.05</v>
      </c>
      <c r="D248" s="117">
        <f>ROUND((1+'Indicadores Financeiros'!$F$8)*(1+'Indicadores Financeiros'!$F$9)/(1-'Indicadores Financeiros'!$F$10-'Indicadores Financeiros'!$F$11-Tabela3[[#This Row],[ISS]])-1,4)</f>
        <v>0.25119999999999998</v>
      </c>
      <c r="G248" s="151"/>
      <c r="H248" s="117"/>
    </row>
    <row r="249" spans="1:8">
      <c r="A249" s="116" t="s">
        <v>294</v>
      </c>
      <c r="B249" t="s">
        <v>547</v>
      </c>
      <c r="C249" s="117">
        <v>0.02</v>
      </c>
      <c r="D249" s="117">
        <f>ROUND((1+'Indicadores Financeiros'!$F$8)*(1+'Indicadores Financeiros'!$F$9)/(1-'Indicadores Financeiros'!$F$10-'Indicadores Financeiros'!$F$11-Tabela3[[#This Row],[ISS]])-1,4)</f>
        <v>0.2114</v>
      </c>
      <c r="G249" s="151"/>
      <c r="H249" s="117"/>
    </row>
    <row r="250" spans="1:8">
      <c r="A250" s="116" t="s">
        <v>288</v>
      </c>
      <c r="B250" t="s">
        <v>548</v>
      </c>
      <c r="C250" s="117">
        <v>0.02</v>
      </c>
      <c r="D250" s="117">
        <f>ROUND((1+'Indicadores Financeiros'!$F$8)*(1+'Indicadores Financeiros'!$F$9)/(1-'Indicadores Financeiros'!$F$10-'Indicadores Financeiros'!$F$11-Tabela3[[#This Row],[ISS]])-1,4)</f>
        <v>0.2114</v>
      </c>
      <c r="G250" s="151"/>
      <c r="H250" s="117"/>
    </row>
    <row r="251" spans="1:8">
      <c r="A251" s="116" t="s">
        <v>288</v>
      </c>
      <c r="B251" t="s">
        <v>549</v>
      </c>
      <c r="C251" s="117">
        <v>0.02</v>
      </c>
      <c r="D251" s="117">
        <f>ROUND((1+'Indicadores Financeiros'!$F$8)*(1+'Indicadores Financeiros'!$F$9)/(1-'Indicadores Financeiros'!$F$10-'Indicadores Financeiros'!$F$11-Tabela3[[#This Row],[ISS]])-1,4)</f>
        <v>0.2114</v>
      </c>
      <c r="G251" s="151"/>
      <c r="H251" s="117"/>
    </row>
    <row r="252" spans="1:8">
      <c r="A252" s="116" t="s">
        <v>310</v>
      </c>
      <c r="B252" t="s">
        <v>550</v>
      </c>
      <c r="C252" s="117">
        <v>0.05</v>
      </c>
      <c r="D252" s="117">
        <f>ROUND((1+'Indicadores Financeiros'!$F$8)*(1+'Indicadores Financeiros'!$F$9)/(1-'Indicadores Financeiros'!$F$10-'Indicadores Financeiros'!$F$11-Tabela3[[#This Row],[ISS]])-1,4)</f>
        <v>0.25119999999999998</v>
      </c>
      <c r="G252" s="151"/>
      <c r="H252" s="117"/>
    </row>
    <row r="253" spans="1:8">
      <c r="A253" s="116" t="s">
        <v>286</v>
      </c>
      <c r="B253" t="s">
        <v>551</v>
      </c>
      <c r="C253" s="117">
        <v>0.05</v>
      </c>
      <c r="D253" s="117">
        <f>ROUND((1+'Indicadores Financeiros'!$F$8)*(1+'Indicadores Financeiros'!$F$9)/(1-'Indicadores Financeiros'!$F$10-'Indicadores Financeiros'!$F$11-Tabela3[[#This Row],[ISS]])-1,4)</f>
        <v>0.25119999999999998</v>
      </c>
      <c r="G253" s="151"/>
      <c r="H253" s="117"/>
    </row>
    <row r="254" spans="1:8">
      <c r="A254" s="116" t="s">
        <v>303</v>
      </c>
      <c r="B254" t="s">
        <v>552</v>
      </c>
      <c r="C254" s="117">
        <v>0.03</v>
      </c>
      <c r="D254" s="117">
        <f>ROUND((1+'Indicadores Financeiros'!$F$8)*(1+'Indicadores Financeiros'!$F$9)/(1-'Indicadores Financeiros'!$F$10-'Indicadores Financeiros'!$F$11-Tabela3[[#This Row],[ISS]])-1,4)</f>
        <v>0.22439999999999999</v>
      </c>
      <c r="G254" s="151"/>
      <c r="H254" s="117"/>
    </row>
    <row r="255" spans="1:8">
      <c r="A255" s="116" t="s">
        <v>303</v>
      </c>
      <c r="B255" t="s">
        <v>553</v>
      </c>
      <c r="C255" s="117">
        <v>0.05</v>
      </c>
      <c r="D255" s="117">
        <f>ROUND((1+'Indicadores Financeiros'!$F$8)*(1+'Indicadores Financeiros'!$F$9)/(1-'Indicadores Financeiros'!$F$10-'Indicadores Financeiros'!$F$11-Tabela3[[#This Row],[ISS]])-1,4)</f>
        <v>0.25119999999999998</v>
      </c>
      <c r="G255" s="151"/>
      <c r="H255" s="117"/>
    </row>
    <row r="256" spans="1:8">
      <c r="A256" s="116" t="s">
        <v>301</v>
      </c>
      <c r="B256" t="s">
        <v>554</v>
      </c>
      <c r="C256" s="117">
        <v>0.02</v>
      </c>
      <c r="D256" s="117">
        <f>ROUND((1+'Indicadores Financeiros'!$F$8)*(1+'Indicadores Financeiros'!$F$9)/(1-'Indicadores Financeiros'!$F$10-'Indicadores Financeiros'!$F$11-Tabela3[[#This Row],[ISS]])-1,4)</f>
        <v>0.2114</v>
      </c>
      <c r="G256" s="151"/>
      <c r="H256" s="117"/>
    </row>
    <row r="257" spans="1:8">
      <c r="A257" s="116" t="s">
        <v>301</v>
      </c>
      <c r="B257" t="s">
        <v>555</v>
      </c>
      <c r="C257" s="117">
        <v>0.05</v>
      </c>
      <c r="D257" s="117">
        <f>ROUND((1+'Indicadores Financeiros'!$F$8)*(1+'Indicadores Financeiros'!$F$9)/(1-'Indicadores Financeiros'!$F$10-'Indicadores Financeiros'!$F$11-Tabela3[[#This Row],[ISS]])-1,4)</f>
        <v>0.25119999999999998</v>
      </c>
      <c r="G257" s="151"/>
      <c r="H257" s="117"/>
    </row>
    <row r="258" spans="1:8">
      <c r="A258" s="116" t="s">
        <v>319</v>
      </c>
      <c r="B258" t="s">
        <v>556</v>
      </c>
      <c r="C258" s="117">
        <v>0.04</v>
      </c>
      <c r="D258" s="117">
        <f>ROUND((1+'Indicadores Financeiros'!$F$8)*(1+'Indicadores Financeiros'!$F$9)/(1-'Indicadores Financeiros'!$F$10-'Indicadores Financeiros'!$F$11-Tabela3[[#This Row],[ISS]])-1,4)</f>
        <v>0.23760000000000001</v>
      </c>
      <c r="G258" s="151"/>
      <c r="H258" s="117"/>
    </row>
    <row r="259" spans="1:8">
      <c r="A259" s="116" t="s">
        <v>288</v>
      </c>
      <c r="B259" t="s">
        <v>557</v>
      </c>
      <c r="C259" s="117">
        <v>0.02</v>
      </c>
      <c r="D259" s="117">
        <f>ROUND((1+'Indicadores Financeiros'!$F$8)*(1+'Indicadores Financeiros'!$F$9)/(1-'Indicadores Financeiros'!$F$10-'Indicadores Financeiros'!$F$11-Tabela3[[#This Row],[ISS]])-1,4)</f>
        <v>0.2114</v>
      </c>
      <c r="G259" s="151"/>
      <c r="H259" s="117"/>
    </row>
    <row r="260" spans="1:8">
      <c r="A260" s="116" t="s">
        <v>303</v>
      </c>
      <c r="B260" t="s">
        <v>558</v>
      </c>
      <c r="C260" s="117">
        <v>0.02</v>
      </c>
      <c r="D260" s="117">
        <f>ROUND((1+'Indicadores Financeiros'!$F$8)*(1+'Indicadores Financeiros'!$F$9)/(1-'Indicadores Financeiros'!$F$10-'Indicadores Financeiros'!$F$11-Tabela3[[#This Row],[ISS]])-1,4)</f>
        <v>0.2114</v>
      </c>
      <c r="G260" s="151"/>
      <c r="H260" s="117"/>
    </row>
    <row r="261" spans="1:8">
      <c r="A261" s="116" t="s">
        <v>294</v>
      </c>
      <c r="B261" t="s">
        <v>559</v>
      </c>
      <c r="C261" s="117">
        <v>0.03</v>
      </c>
      <c r="D261" s="117">
        <f>ROUND((1+'Indicadores Financeiros'!$F$8)*(1+'Indicadores Financeiros'!$F$9)/(1-'Indicadores Financeiros'!$F$10-'Indicadores Financeiros'!$F$11-Tabela3[[#This Row],[ISS]])-1,4)</f>
        <v>0.22439999999999999</v>
      </c>
      <c r="G261" s="151"/>
      <c r="H261" s="117"/>
    </row>
    <row r="262" spans="1:8">
      <c r="A262" s="116" t="s">
        <v>292</v>
      </c>
      <c r="B262" t="s">
        <v>560</v>
      </c>
      <c r="C262" s="117">
        <v>0.04</v>
      </c>
      <c r="D262" s="117">
        <f>ROUND((1+'Indicadores Financeiros'!$F$8)*(1+'Indicadores Financeiros'!$F$9)/(1-'Indicadores Financeiros'!$F$10-'Indicadores Financeiros'!$F$11-Tabela3[[#This Row],[ISS]])-1,4)</f>
        <v>0.23760000000000001</v>
      </c>
      <c r="G262" s="151"/>
      <c r="H262" s="117"/>
    </row>
    <row r="263" spans="1:8">
      <c r="A263" s="116" t="s">
        <v>299</v>
      </c>
      <c r="B263" t="s">
        <v>561</v>
      </c>
      <c r="C263" s="117">
        <v>0.05</v>
      </c>
      <c r="D263" s="117">
        <f>ROUND((1+'Indicadores Financeiros'!$F$8)*(1+'Indicadores Financeiros'!$F$9)/(1-'Indicadores Financeiros'!$F$10-'Indicadores Financeiros'!$F$11-Tabela3[[#This Row],[ISS]])-1,4)</f>
        <v>0.25119999999999998</v>
      </c>
      <c r="G263" s="151"/>
      <c r="H263" s="117"/>
    </row>
    <row r="264" spans="1:8">
      <c r="A264" s="116" t="s">
        <v>310</v>
      </c>
      <c r="B264" t="s">
        <v>562</v>
      </c>
      <c r="C264" s="117">
        <v>0.02</v>
      </c>
      <c r="D264" s="117">
        <f>ROUND((1+'Indicadores Financeiros'!$F$8)*(1+'Indicadores Financeiros'!$F$9)/(1-'Indicadores Financeiros'!$F$10-'Indicadores Financeiros'!$F$11-Tabela3[[#This Row],[ISS]])-1,4)</f>
        <v>0.2114</v>
      </c>
      <c r="G264" s="151"/>
      <c r="H264" s="117"/>
    </row>
    <row r="265" spans="1:8">
      <c r="A265" s="116" t="s">
        <v>288</v>
      </c>
      <c r="B265" t="s">
        <v>563</v>
      </c>
      <c r="C265" s="117">
        <v>0.02</v>
      </c>
      <c r="D265" s="117">
        <f>ROUND((1+'Indicadores Financeiros'!$F$8)*(1+'Indicadores Financeiros'!$F$9)/(1-'Indicadores Financeiros'!$F$10-'Indicadores Financeiros'!$F$11-Tabela3[[#This Row],[ISS]])-1,4)</f>
        <v>0.2114</v>
      </c>
      <c r="G265" s="151"/>
      <c r="H265" s="117"/>
    </row>
    <row r="266" spans="1:8">
      <c r="A266" s="116" t="s">
        <v>294</v>
      </c>
      <c r="B266" t="s">
        <v>564</v>
      </c>
      <c r="C266" s="117">
        <v>0.03</v>
      </c>
      <c r="D266" s="117">
        <f>ROUND((1+'Indicadores Financeiros'!$F$8)*(1+'Indicadores Financeiros'!$F$9)/(1-'Indicadores Financeiros'!$F$10-'Indicadores Financeiros'!$F$11-Tabela3[[#This Row],[ISS]])-1,4)</f>
        <v>0.22439999999999999</v>
      </c>
      <c r="G266" s="151"/>
      <c r="H266" s="117"/>
    </row>
    <row r="267" spans="1:8">
      <c r="A267" s="116" t="s">
        <v>310</v>
      </c>
      <c r="B267" t="s">
        <v>565</v>
      </c>
      <c r="C267" s="117">
        <v>0.02</v>
      </c>
      <c r="D267" s="117">
        <f>ROUND((1+'Indicadores Financeiros'!$F$8)*(1+'Indicadores Financeiros'!$F$9)/(1-'Indicadores Financeiros'!$F$10-'Indicadores Financeiros'!$F$11-Tabela3[[#This Row],[ISS]])-1,4)</f>
        <v>0.2114</v>
      </c>
      <c r="G267" s="151"/>
      <c r="H267" s="117"/>
    </row>
    <row r="268" spans="1:8">
      <c r="A268" s="116" t="s">
        <v>286</v>
      </c>
      <c r="B268" t="s">
        <v>566</v>
      </c>
      <c r="C268" s="117">
        <v>0.03</v>
      </c>
      <c r="D268" s="117">
        <f>ROUND((1+'Indicadores Financeiros'!$F$8)*(1+'Indicadores Financeiros'!$F$9)/(1-'Indicadores Financeiros'!$F$10-'Indicadores Financeiros'!$F$11-Tabela3[[#This Row],[ISS]])-1,4)</f>
        <v>0.22439999999999999</v>
      </c>
      <c r="G268" s="151"/>
      <c r="H268" s="117"/>
    </row>
    <row r="269" spans="1:8">
      <c r="A269" s="116" t="s">
        <v>310</v>
      </c>
      <c r="B269" t="s">
        <v>567</v>
      </c>
      <c r="C269" s="117">
        <v>0.03</v>
      </c>
      <c r="D269" s="117">
        <f>ROUND((1+'Indicadores Financeiros'!$F$8)*(1+'Indicadores Financeiros'!$F$9)/(1-'Indicadores Financeiros'!$F$10-'Indicadores Financeiros'!$F$11-Tabela3[[#This Row],[ISS]])-1,4)</f>
        <v>0.22439999999999999</v>
      </c>
      <c r="G269" s="151"/>
      <c r="H269" s="117"/>
    </row>
    <row r="270" spans="1:8">
      <c r="A270" s="116" t="s">
        <v>326</v>
      </c>
      <c r="B270" t="s">
        <v>568</v>
      </c>
      <c r="C270" s="117">
        <v>0.03</v>
      </c>
      <c r="D270" s="117">
        <f>ROUND((1+'Indicadores Financeiros'!$F$8)*(1+'Indicadores Financeiros'!$F$9)/(1-'Indicadores Financeiros'!$F$10-'Indicadores Financeiros'!$F$11-Tabela3[[#This Row],[ISS]])-1,4)</f>
        <v>0.22439999999999999</v>
      </c>
      <c r="G270" s="151"/>
      <c r="H270" s="117"/>
    </row>
    <row r="271" spans="1:8">
      <c r="A271" s="116" t="s">
        <v>303</v>
      </c>
      <c r="B271" t="s">
        <v>569</v>
      </c>
      <c r="C271" s="117">
        <v>0.03</v>
      </c>
      <c r="D271" s="117">
        <f>ROUND((1+'Indicadores Financeiros'!$F$8)*(1+'Indicadores Financeiros'!$F$9)/(1-'Indicadores Financeiros'!$F$10-'Indicadores Financeiros'!$F$11-Tabela3[[#This Row],[ISS]])-1,4)</f>
        <v>0.22439999999999999</v>
      </c>
      <c r="G271" s="151"/>
      <c r="H271" s="117"/>
    </row>
    <row r="272" spans="1:8">
      <c r="A272" s="116" t="s">
        <v>310</v>
      </c>
      <c r="B272" t="s">
        <v>570</v>
      </c>
      <c r="C272" s="117">
        <v>0.03</v>
      </c>
      <c r="D272" s="117">
        <f>ROUND((1+'Indicadores Financeiros'!$F$8)*(1+'Indicadores Financeiros'!$F$9)/(1-'Indicadores Financeiros'!$F$10-'Indicadores Financeiros'!$F$11-Tabela3[[#This Row],[ISS]])-1,4)</f>
        <v>0.22439999999999999</v>
      </c>
      <c r="G272" s="151"/>
      <c r="H272" s="117"/>
    </row>
    <row r="273" spans="1:8">
      <c r="A273" s="116" t="s">
        <v>310</v>
      </c>
      <c r="B273" t="s">
        <v>571</v>
      </c>
      <c r="C273" s="117">
        <v>0.05</v>
      </c>
      <c r="D273" s="117">
        <f>ROUND((1+'Indicadores Financeiros'!$F$8)*(1+'Indicadores Financeiros'!$F$9)/(1-'Indicadores Financeiros'!$F$10-'Indicadores Financeiros'!$F$11-Tabela3[[#This Row],[ISS]])-1,4)</f>
        <v>0.25119999999999998</v>
      </c>
      <c r="G273" s="151"/>
      <c r="H273" s="117"/>
    </row>
    <row r="274" spans="1:8">
      <c r="A274" s="116" t="s">
        <v>294</v>
      </c>
      <c r="B274" t="s">
        <v>572</v>
      </c>
      <c r="C274" s="117">
        <v>0.02</v>
      </c>
      <c r="D274" s="117">
        <f>ROUND((1+'Indicadores Financeiros'!$F$8)*(1+'Indicadores Financeiros'!$F$9)/(1-'Indicadores Financeiros'!$F$10-'Indicadores Financeiros'!$F$11-Tabela3[[#This Row],[ISS]])-1,4)</f>
        <v>0.2114</v>
      </c>
      <c r="G274" s="151"/>
      <c r="H274" s="117"/>
    </row>
    <row r="275" spans="1:8">
      <c r="A275" s="116" t="s">
        <v>288</v>
      </c>
      <c r="B275" t="s">
        <v>573</v>
      </c>
      <c r="C275" s="117">
        <v>0.04</v>
      </c>
      <c r="D275" s="117">
        <f>ROUND((1+'Indicadores Financeiros'!$F$8)*(1+'Indicadores Financeiros'!$F$9)/(1-'Indicadores Financeiros'!$F$10-'Indicadores Financeiros'!$F$11-Tabela3[[#This Row],[ISS]])-1,4)</f>
        <v>0.23760000000000001</v>
      </c>
      <c r="G275" s="151"/>
      <c r="H275" s="117"/>
    </row>
    <row r="276" spans="1:8">
      <c r="A276" s="116" t="s">
        <v>294</v>
      </c>
      <c r="B276" t="s">
        <v>574</v>
      </c>
      <c r="C276" s="117">
        <v>0.03</v>
      </c>
      <c r="D276" s="117">
        <f>ROUND((1+'Indicadores Financeiros'!$F$8)*(1+'Indicadores Financeiros'!$F$9)/(1-'Indicadores Financeiros'!$F$10-'Indicadores Financeiros'!$F$11-Tabela3[[#This Row],[ISS]])-1,4)</f>
        <v>0.22439999999999999</v>
      </c>
      <c r="G276" s="151"/>
      <c r="H276" s="117"/>
    </row>
    <row r="277" spans="1:8">
      <c r="A277" s="116" t="s">
        <v>294</v>
      </c>
      <c r="B277" t="s">
        <v>575</v>
      </c>
      <c r="C277" s="117">
        <v>0.05</v>
      </c>
      <c r="D277" s="117">
        <f>ROUND((1+'Indicadores Financeiros'!$F$8)*(1+'Indicadores Financeiros'!$F$9)/(1-'Indicadores Financeiros'!$F$10-'Indicadores Financeiros'!$F$11-Tabela3[[#This Row],[ISS]])-1,4)</f>
        <v>0.25119999999999998</v>
      </c>
      <c r="G277" s="151"/>
      <c r="H277" s="117"/>
    </row>
    <row r="278" spans="1:8">
      <c r="A278" s="116" t="s">
        <v>319</v>
      </c>
      <c r="B278" t="s">
        <v>576</v>
      </c>
      <c r="C278" s="117">
        <v>0.03</v>
      </c>
      <c r="D278" s="117">
        <f>ROUND((1+'Indicadores Financeiros'!$F$8)*(1+'Indicadores Financeiros'!$F$9)/(1-'Indicadores Financeiros'!$F$10-'Indicadores Financeiros'!$F$11-Tabela3[[#This Row],[ISS]])-1,4)</f>
        <v>0.22439999999999999</v>
      </c>
      <c r="G278" s="151"/>
      <c r="H278" s="117"/>
    </row>
    <row r="279" spans="1:8">
      <c r="A279" s="116" t="s">
        <v>303</v>
      </c>
      <c r="B279" t="s">
        <v>577</v>
      </c>
      <c r="C279" s="117">
        <v>0.03</v>
      </c>
      <c r="D279" s="117">
        <f>ROUND((1+'Indicadores Financeiros'!$F$8)*(1+'Indicadores Financeiros'!$F$9)/(1-'Indicadores Financeiros'!$F$10-'Indicadores Financeiros'!$F$11-Tabela3[[#This Row],[ISS]])-1,4)</f>
        <v>0.22439999999999999</v>
      </c>
      <c r="G279" s="151"/>
      <c r="H279" s="117"/>
    </row>
    <row r="280" spans="1:8">
      <c r="A280" s="116" t="s">
        <v>303</v>
      </c>
      <c r="B280" t="s">
        <v>578</v>
      </c>
      <c r="C280" s="117">
        <v>0.03</v>
      </c>
      <c r="D280" s="117">
        <f>ROUND((1+'Indicadores Financeiros'!$F$8)*(1+'Indicadores Financeiros'!$F$9)/(1-'Indicadores Financeiros'!$F$10-'Indicadores Financeiros'!$F$11-Tabela3[[#This Row],[ISS]])-1,4)</f>
        <v>0.22439999999999999</v>
      </c>
      <c r="G280" s="151"/>
      <c r="H280" s="117"/>
    </row>
    <row r="281" spans="1:8">
      <c r="A281" s="116" t="s">
        <v>292</v>
      </c>
      <c r="B281" t="s">
        <v>579</v>
      </c>
      <c r="C281" s="117">
        <v>0.03</v>
      </c>
      <c r="D281" s="117">
        <f>ROUND((1+'Indicadores Financeiros'!$F$8)*(1+'Indicadores Financeiros'!$F$9)/(1-'Indicadores Financeiros'!$F$10-'Indicadores Financeiros'!$F$11-Tabela3[[#This Row],[ISS]])-1,4)</f>
        <v>0.22439999999999999</v>
      </c>
      <c r="G281" s="151"/>
      <c r="H281" s="117"/>
    </row>
    <row r="282" spans="1:8">
      <c r="A282" s="116" t="s">
        <v>301</v>
      </c>
      <c r="B282" t="s">
        <v>580</v>
      </c>
      <c r="C282" s="117">
        <v>0.02</v>
      </c>
      <c r="D282" s="117">
        <f>ROUND((1+'Indicadores Financeiros'!$F$8)*(1+'Indicadores Financeiros'!$F$9)/(1-'Indicadores Financeiros'!$F$10-'Indicadores Financeiros'!$F$11-Tabela3[[#This Row],[ISS]])-1,4)</f>
        <v>0.2114</v>
      </c>
      <c r="G282" s="151"/>
      <c r="H282" s="117"/>
    </row>
    <row r="283" spans="1:8">
      <c r="A283" s="116" t="s">
        <v>310</v>
      </c>
      <c r="B283" t="s">
        <v>581</v>
      </c>
      <c r="C283" s="152">
        <v>0.02</v>
      </c>
      <c r="D283" s="117">
        <f>ROUND((1+'Indicadores Financeiros'!$F$8)*(1+'Indicadores Financeiros'!$F$9)/(1-'Indicadores Financeiros'!$F$10-'Indicadores Financeiros'!$F$11-Tabela3[[#This Row],[ISS]])-1,4)</f>
        <v>0.2114</v>
      </c>
      <c r="G283" s="151"/>
      <c r="H283" s="117"/>
    </row>
    <row r="284" spans="1:8">
      <c r="A284" s="116" t="s">
        <v>288</v>
      </c>
      <c r="B284" t="s">
        <v>582</v>
      </c>
      <c r="C284" s="117">
        <v>0.05</v>
      </c>
      <c r="D284" s="117">
        <f>ROUND((1+'Indicadores Financeiros'!$F$8)*(1+'Indicadores Financeiros'!$F$9)/(1-'Indicadores Financeiros'!$F$10-'Indicadores Financeiros'!$F$11-Tabela3[[#This Row],[ISS]])-1,4)</f>
        <v>0.25119999999999998</v>
      </c>
      <c r="G284" s="151"/>
      <c r="H284" s="117"/>
    </row>
    <row r="285" spans="1:8">
      <c r="A285" s="116" t="s">
        <v>301</v>
      </c>
      <c r="B285" t="s">
        <v>583</v>
      </c>
      <c r="C285" s="117">
        <v>0.02</v>
      </c>
      <c r="D285" s="117">
        <f>ROUND((1+'Indicadores Financeiros'!$F$8)*(1+'Indicadores Financeiros'!$F$9)/(1-'Indicadores Financeiros'!$F$10-'Indicadores Financeiros'!$F$11-Tabela3[[#This Row],[ISS]])-1,4)</f>
        <v>0.2114</v>
      </c>
      <c r="G285" s="151"/>
      <c r="H285" s="117"/>
    </row>
    <row r="286" spans="1:8">
      <c r="A286" s="116" t="s">
        <v>303</v>
      </c>
      <c r="B286" t="s">
        <v>584</v>
      </c>
      <c r="C286" s="117">
        <v>0.05</v>
      </c>
      <c r="D286" s="117">
        <f>ROUND((1+'Indicadores Financeiros'!$F$8)*(1+'Indicadores Financeiros'!$F$9)/(1-'Indicadores Financeiros'!$F$10-'Indicadores Financeiros'!$F$11-Tabela3[[#This Row],[ISS]])-1,4)</f>
        <v>0.25119999999999998</v>
      </c>
      <c r="G286" s="151"/>
      <c r="H286" s="117"/>
    </row>
    <row r="287" spans="1:8">
      <c r="A287" s="116" t="s">
        <v>294</v>
      </c>
      <c r="B287" t="s">
        <v>585</v>
      </c>
      <c r="C287" s="117">
        <v>0.04</v>
      </c>
      <c r="D287" s="117">
        <f>ROUND((1+'Indicadores Financeiros'!$F$8)*(1+'Indicadores Financeiros'!$F$9)/(1-'Indicadores Financeiros'!$F$10-'Indicadores Financeiros'!$F$11-Tabela3[[#This Row],[ISS]])-1,4)</f>
        <v>0.23760000000000001</v>
      </c>
      <c r="G287" s="151"/>
      <c r="H287" s="117"/>
    </row>
    <row r="288" spans="1:8">
      <c r="A288" s="116" t="s">
        <v>294</v>
      </c>
      <c r="B288" t="s">
        <v>586</v>
      </c>
      <c r="C288" s="117">
        <v>0.05</v>
      </c>
      <c r="D288" s="117">
        <f>ROUND((1+'Indicadores Financeiros'!$F$8)*(1+'Indicadores Financeiros'!$F$9)/(1-'Indicadores Financeiros'!$F$10-'Indicadores Financeiros'!$F$11-Tabela3[[#This Row],[ISS]])-1,4)</f>
        <v>0.25119999999999998</v>
      </c>
      <c r="G288" s="151"/>
      <c r="H288" s="117"/>
    </row>
    <row r="289" spans="1:8">
      <c r="A289" s="116" t="s">
        <v>326</v>
      </c>
      <c r="B289" t="s">
        <v>587</v>
      </c>
      <c r="C289" s="117">
        <v>0.03</v>
      </c>
      <c r="D289" s="117">
        <f>ROUND((1+'Indicadores Financeiros'!$F$8)*(1+'Indicadores Financeiros'!$F$9)/(1-'Indicadores Financeiros'!$F$10-'Indicadores Financeiros'!$F$11-Tabela3[[#This Row],[ISS]])-1,4)</f>
        <v>0.22439999999999999</v>
      </c>
      <c r="G289" s="151"/>
      <c r="H289" s="117"/>
    </row>
    <row r="290" spans="1:8">
      <c r="A290" s="116" t="s">
        <v>288</v>
      </c>
      <c r="B290" t="s">
        <v>588</v>
      </c>
      <c r="C290" s="117">
        <v>0.03</v>
      </c>
      <c r="D290" s="117">
        <f>ROUND((1+'Indicadores Financeiros'!$F$8)*(1+'Indicadores Financeiros'!$F$9)/(1-'Indicadores Financeiros'!$F$10-'Indicadores Financeiros'!$F$11-Tabela3[[#This Row],[ISS]])-1,4)</f>
        <v>0.22439999999999999</v>
      </c>
      <c r="G290" s="151"/>
      <c r="H290" s="117"/>
    </row>
    <row r="291" spans="1:8">
      <c r="A291" s="116" t="s">
        <v>294</v>
      </c>
      <c r="B291" t="s">
        <v>589</v>
      </c>
      <c r="C291" s="117">
        <v>0.02</v>
      </c>
      <c r="D291" s="117">
        <f>ROUND((1+'Indicadores Financeiros'!$F$8)*(1+'Indicadores Financeiros'!$F$9)/(1-'Indicadores Financeiros'!$F$10-'Indicadores Financeiros'!$F$11-Tabela3[[#This Row],[ISS]])-1,4)</f>
        <v>0.2114</v>
      </c>
      <c r="G291" s="151"/>
      <c r="H291" s="117"/>
    </row>
    <row r="292" spans="1:8">
      <c r="A292" s="116" t="s">
        <v>294</v>
      </c>
      <c r="B292" t="s">
        <v>590</v>
      </c>
      <c r="C292" s="117">
        <v>0.02</v>
      </c>
      <c r="D292" s="117">
        <f>ROUND((1+'Indicadores Financeiros'!$F$8)*(1+'Indicadores Financeiros'!$F$9)/(1-'Indicadores Financeiros'!$F$10-'Indicadores Financeiros'!$F$11-Tabela3[[#This Row],[ISS]])-1,4)</f>
        <v>0.2114</v>
      </c>
      <c r="G292" s="151"/>
      <c r="H292" s="117"/>
    </row>
    <row r="293" spans="1:8">
      <c r="A293" s="116" t="s">
        <v>288</v>
      </c>
      <c r="B293" t="s">
        <v>591</v>
      </c>
      <c r="C293" s="117">
        <v>2.5000000000000001E-2</v>
      </c>
      <c r="D293" s="117">
        <f>ROUND((1+'Indicadores Financeiros'!$F$8)*(1+'Indicadores Financeiros'!$F$9)/(1-'Indicadores Financeiros'!$F$10-'Indicadores Financeiros'!$F$11-Tabela3[[#This Row],[ISS]])-1,4)</f>
        <v>0.21790000000000001</v>
      </c>
      <c r="G293" s="151"/>
      <c r="H293" s="117"/>
    </row>
    <row r="294" spans="1:8">
      <c r="A294" s="116" t="s">
        <v>301</v>
      </c>
      <c r="B294" t="s">
        <v>592</v>
      </c>
      <c r="C294" s="117">
        <v>0.05</v>
      </c>
      <c r="D294" s="117">
        <f>ROUND((1+'Indicadores Financeiros'!$F$8)*(1+'Indicadores Financeiros'!$F$9)/(1-'Indicadores Financeiros'!$F$10-'Indicadores Financeiros'!$F$11-Tabela3[[#This Row],[ISS]])-1,4)</f>
        <v>0.25119999999999998</v>
      </c>
      <c r="G294" s="151"/>
      <c r="H294" s="117"/>
    </row>
    <row r="295" spans="1:8">
      <c r="A295" s="116" t="s">
        <v>288</v>
      </c>
      <c r="B295" t="s">
        <v>593</v>
      </c>
      <c r="C295" s="117">
        <v>0.05</v>
      </c>
      <c r="D295" s="117">
        <f>ROUND((1+'Indicadores Financeiros'!$F$8)*(1+'Indicadores Financeiros'!$F$9)/(1-'Indicadores Financeiros'!$F$10-'Indicadores Financeiros'!$F$11-Tabela3[[#This Row],[ISS]])-1,4)</f>
        <v>0.25119999999999998</v>
      </c>
      <c r="G295" s="151"/>
      <c r="H295" s="117"/>
    </row>
    <row r="296" spans="1:8">
      <c r="A296" s="116" t="s">
        <v>310</v>
      </c>
      <c r="B296" t="s">
        <v>594</v>
      </c>
      <c r="C296" s="117">
        <v>0.03</v>
      </c>
      <c r="D296" s="117">
        <f>ROUND((1+'Indicadores Financeiros'!$F$8)*(1+'Indicadores Financeiros'!$F$9)/(1-'Indicadores Financeiros'!$F$10-'Indicadores Financeiros'!$F$11-Tabela3[[#This Row],[ISS]])-1,4)</f>
        <v>0.22439999999999999</v>
      </c>
      <c r="G296" s="151"/>
      <c r="H296" s="117"/>
    </row>
    <row r="297" spans="1:8">
      <c r="A297" s="116" t="s">
        <v>319</v>
      </c>
      <c r="B297" t="s">
        <v>595</v>
      </c>
      <c r="C297" s="117">
        <v>0.03</v>
      </c>
      <c r="D297" s="117">
        <f>ROUND((1+'Indicadores Financeiros'!$F$8)*(1+'Indicadores Financeiros'!$F$9)/(1-'Indicadores Financeiros'!$F$10-'Indicadores Financeiros'!$F$11-Tabela3[[#This Row],[ISS]])-1,4)</f>
        <v>0.22439999999999999</v>
      </c>
      <c r="G297" s="151"/>
      <c r="H297" s="117"/>
    </row>
    <row r="298" spans="1:8">
      <c r="A298" s="116" t="s">
        <v>310</v>
      </c>
      <c r="B298" t="s">
        <v>596</v>
      </c>
      <c r="C298" s="117">
        <v>0.02</v>
      </c>
      <c r="D298" s="117">
        <f>ROUND((1+'Indicadores Financeiros'!$F$8)*(1+'Indicadores Financeiros'!$F$9)/(1-'Indicadores Financeiros'!$F$10-'Indicadores Financeiros'!$F$11-Tabela3[[#This Row],[ISS]])-1,4)</f>
        <v>0.2114</v>
      </c>
      <c r="G298" s="151"/>
      <c r="H298" s="117"/>
    </row>
    <row r="299" spans="1:8">
      <c r="A299" s="116" t="s">
        <v>294</v>
      </c>
      <c r="B299" t="s">
        <v>597</v>
      </c>
      <c r="C299" s="117">
        <v>0.05</v>
      </c>
      <c r="D299" s="117">
        <f>ROUND((1+'Indicadores Financeiros'!$F$8)*(1+'Indicadores Financeiros'!$F$9)/(1-'Indicadores Financeiros'!$F$10-'Indicadores Financeiros'!$F$11-Tabela3[[#This Row],[ISS]])-1,4)</f>
        <v>0.25119999999999998</v>
      </c>
      <c r="G299" s="151"/>
      <c r="H299" s="117"/>
    </row>
    <row r="300" spans="1:8">
      <c r="A300" s="116" t="s">
        <v>319</v>
      </c>
      <c r="B300" t="s">
        <v>598</v>
      </c>
      <c r="C300" s="117">
        <v>0.03</v>
      </c>
      <c r="D300" s="117">
        <f>ROUND((1+'Indicadores Financeiros'!$F$8)*(1+'Indicadores Financeiros'!$F$9)/(1-'Indicadores Financeiros'!$F$10-'Indicadores Financeiros'!$F$11-Tabela3[[#This Row],[ISS]])-1,4)</f>
        <v>0.22439999999999999</v>
      </c>
      <c r="G300" s="151"/>
      <c r="H300" s="117"/>
    </row>
    <row r="301" spans="1:8">
      <c r="A301" s="116" t="s">
        <v>294</v>
      </c>
      <c r="B301" t="s">
        <v>599</v>
      </c>
      <c r="C301" s="117">
        <v>0.02</v>
      </c>
      <c r="D301" s="117">
        <f>ROUND((1+'Indicadores Financeiros'!$F$8)*(1+'Indicadores Financeiros'!$F$9)/(1-'Indicadores Financeiros'!$F$10-'Indicadores Financeiros'!$F$11-Tabela3[[#This Row],[ISS]])-1,4)</f>
        <v>0.2114</v>
      </c>
      <c r="G301" s="151"/>
      <c r="H301" s="117"/>
    </row>
    <row r="302" spans="1:8">
      <c r="A302" s="116" t="s">
        <v>292</v>
      </c>
      <c r="B302" t="s">
        <v>600</v>
      </c>
      <c r="C302" s="117">
        <v>0.05</v>
      </c>
      <c r="D302" s="117">
        <f>ROUND((1+'Indicadores Financeiros'!$F$8)*(1+'Indicadores Financeiros'!$F$9)/(1-'Indicadores Financeiros'!$F$10-'Indicadores Financeiros'!$F$11-Tabela3[[#This Row],[ISS]])-1,4)</f>
        <v>0.25119999999999998</v>
      </c>
      <c r="G302" s="151"/>
      <c r="H302" s="117"/>
    </row>
    <row r="303" spans="1:8">
      <c r="A303" s="116" t="s">
        <v>301</v>
      </c>
      <c r="B303" t="s">
        <v>601</v>
      </c>
      <c r="C303" s="117">
        <v>0.05</v>
      </c>
      <c r="D303" s="117">
        <f>ROUND((1+'Indicadores Financeiros'!$F$8)*(1+'Indicadores Financeiros'!$F$9)/(1-'Indicadores Financeiros'!$F$10-'Indicadores Financeiros'!$F$11-Tabela3[[#This Row],[ISS]])-1,4)</f>
        <v>0.25119999999999998</v>
      </c>
      <c r="G303" s="151"/>
      <c r="H303" s="117"/>
    </row>
    <row r="304" spans="1:8">
      <c r="A304" s="116" t="s">
        <v>303</v>
      </c>
      <c r="B304" t="s">
        <v>602</v>
      </c>
      <c r="C304" s="117">
        <v>0.05</v>
      </c>
      <c r="D304" s="117">
        <f>ROUND((1+'Indicadores Financeiros'!$F$8)*(1+'Indicadores Financeiros'!$F$9)/(1-'Indicadores Financeiros'!$F$10-'Indicadores Financeiros'!$F$11-Tabela3[[#This Row],[ISS]])-1,4)</f>
        <v>0.25119999999999998</v>
      </c>
      <c r="G304" s="151"/>
      <c r="H304" s="117"/>
    </row>
    <row r="305" spans="1:8">
      <c r="A305" s="116" t="s">
        <v>286</v>
      </c>
      <c r="B305" t="s">
        <v>603</v>
      </c>
      <c r="C305" s="117">
        <v>0.05</v>
      </c>
      <c r="D305" s="117">
        <f>ROUND((1+'Indicadores Financeiros'!$F$8)*(1+'Indicadores Financeiros'!$F$9)/(1-'Indicadores Financeiros'!$F$10-'Indicadores Financeiros'!$F$11-Tabela3[[#This Row],[ISS]])-1,4)</f>
        <v>0.25119999999999998</v>
      </c>
      <c r="G305" s="151"/>
      <c r="H305" s="117"/>
    </row>
    <row r="306" spans="1:8">
      <c r="A306" s="116" t="s">
        <v>288</v>
      </c>
      <c r="B306" t="s">
        <v>604</v>
      </c>
      <c r="C306" s="117">
        <v>0.03</v>
      </c>
      <c r="D306" s="117">
        <f>ROUND((1+'Indicadores Financeiros'!$F$8)*(1+'Indicadores Financeiros'!$F$9)/(1-'Indicadores Financeiros'!$F$10-'Indicadores Financeiros'!$F$11-Tabela3[[#This Row],[ISS]])-1,4)</f>
        <v>0.22439999999999999</v>
      </c>
      <c r="G306" s="151"/>
      <c r="H306" s="117"/>
    </row>
    <row r="307" spans="1:8">
      <c r="A307" s="116" t="s">
        <v>303</v>
      </c>
      <c r="B307" t="s">
        <v>605</v>
      </c>
      <c r="C307" s="117">
        <v>0.02</v>
      </c>
      <c r="D307" s="117">
        <f>ROUND((1+'Indicadores Financeiros'!$F$8)*(1+'Indicadores Financeiros'!$F$9)/(1-'Indicadores Financeiros'!$F$10-'Indicadores Financeiros'!$F$11-Tabela3[[#This Row],[ISS]])-1,4)</f>
        <v>0.2114</v>
      </c>
      <c r="G307" s="151"/>
      <c r="H307" s="117"/>
    </row>
    <row r="308" spans="1:8">
      <c r="A308" s="116" t="s">
        <v>286</v>
      </c>
      <c r="B308" t="s">
        <v>606</v>
      </c>
      <c r="C308" s="117">
        <v>0.05</v>
      </c>
      <c r="D308" s="117">
        <f>ROUND((1+'Indicadores Financeiros'!$F$8)*(1+'Indicadores Financeiros'!$F$9)/(1-'Indicadores Financeiros'!$F$10-'Indicadores Financeiros'!$F$11-Tabela3[[#This Row],[ISS]])-1,4)</f>
        <v>0.25119999999999998</v>
      </c>
      <c r="G308" s="151"/>
      <c r="H308" s="117"/>
    </row>
    <row r="309" spans="1:8">
      <c r="A309" s="116" t="s">
        <v>286</v>
      </c>
      <c r="B309" t="s">
        <v>607</v>
      </c>
      <c r="C309" s="117">
        <v>0.03</v>
      </c>
      <c r="D309" s="117">
        <f>ROUND((1+'Indicadores Financeiros'!$F$8)*(1+'Indicadores Financeiros'!$F$9)/(1-'Indicadores Financeiros'!$F$10-'Indicadores Financeiros'!$F$11-Tabela3[[#This Row],[ISS]])-1,4)</f>
        <v>0.22439999999999999</v>
      </c>
      <c r="G309" s="151"/>
      <c r="H309" s="117"/>
    </row>
    <row r="310" spans="1:8">
      <c r="A310" s="116" t="s">
        <v>303</v>
      </c>
      <c r="B310" t="s">
        <v>608</v>
      </c>
      <c r="C310" s="117">
        <v>0.03</v>
      </c>
      <c r="D310" s="117">
        <f>ROUND((1+'Indicadores Financeiros'!$F$8)*(1+'Indicadores Financeiros'!$F$9)/(1-'Indicadores Financeiros'!$F$10-'Indicadores Financeiros'!$F$11-Tabela3[[#This Row],[ISS]])-1,4)</f>
        <v>0.22439999999999999</v>
      </c>
      <c r="G310" s="151"/>
      <c r="H310" s="117"/>
    </row>
    <row r="311" spans="1:8">
      <c r="A311" s="116" t="s">
        <v>299</v>
      </c>
      <c r="B311" t="s">
        <v>609</v>
      </c>
      <c r="C311" s="117">
        <v>0.05</v>
      </c>
      <c r="D311" s="117">
        <f>ROUND((1+'Indicadores Financeiros'!$F$8)*(1+'Indicadores Financeiros'!$F$9)/(1-'Indicadores Financeiros'!$F$10-'Indicadores Financeiros'!$F$11-Tabela3[[#This Row],[ISS]])-1,4)</f>
        <v>0.25119999999999998</v>
      </c>
      <c r="G311" s="151"/>
      <c r="H311" s="117"/>
    </row>
    <row r="312" spans="1:8">
      <c r="A312" s="116" t="s">
        <v>319</v>
      </c>
      <c r="B312" t="s">
        <v>610</v>
      </c>
      <c r="C312" s="117">
        <v>0.05</v>
      </c>
      <c r="D312" s="117">
        <f>ROUND((1+'Indicadores Financeiros'!$F$8)*(1+'Indicadores Financeiros'!$F$9)/(1-'Indicadores Financeiros'!$F$10-'Indicadores Financeiros'!$F$11-Tabela3[[#This Row],[ISS]])-1,4)</f>
        <v>0.25119999999999998</v>
      </c>
      <c r="G312" s="151"/>
      <c r="H312" s="117"/>
    </row>
    <row r="313" spans="1:8">
      <c r="A313" s="116" t="s">
        <v>288</v>
      </c>
      <c r="B313" t="s">
        <v>611</v>
      </c>
      <c r="C313" s="117">
        <v>0.03</v>
      </c>
      <c r="D313" s="117">
        <f>ROUND((1+'Indicadores Financeiros'!$F$8)*(1+'Indicadores Financeiros'!$F$9)/(1-'Indicadores Financeiros'!$F$10-'Indicadores Financeiros'!$F$11-Tabela3[[#This Row],[ISS]])-1,4)</f>
        <v>0.22439999999999999</v>
      </c>
      <c r="G313" s="151"/>
      <c r="H313" s="117"/>
    </row>
    <row r="314" spans="1:8">
      <c r="A314" s="116" t="s">
        <v>299</v>
      </c>
      <c r="B314" t="s">
        <v>612</v>
      </c>
      <c r="C314" s="117">
        <v>0.03</v>
      </c>
      <c r="D314" s="117">
        <f>ROUND((1+'Indicadores Financeiros'!$F$8)*(1+'Indicadores Financeiros'!$F$9)/(1-'Indicadores Financeiros'!$F$10-'Indicadores Financeiros'!$F$11-Tabela3[[#This Row],[ISS]])-1,4)</f>
        <v>0.22439999999999999</v>
      </c>
      <c r="G314" s="151"/>
      <c r="H314" s="117"/>
    </row>
    <row r="315" spans="1:8">
      <c r="A315" s="116" t="s">
        <v>288</v>
      </c>
      <c r="B315" t="s">
        <v>613</v>
      </c>
      <c r="C315" s="117">
        <v>0.05</v>
      </c>
      <c r="D315" s="117">
        <f>ROUND((1+'Indicadores Financeiros'!$F$8)*(1+'Indicadores Financeiros'!$F$9)/(1-'Indicadores Financeiros'!$F$10-'Indicadores Financeiros'!$F$11-Tabela3[[#This Row],[ISS]])-1,4)</f>
        <v>0.25119999999999998</v>
      </c>
      <c r="G315" s="151"/>
      <c r="H315" s="117"/>
    </row>
    <row r="316" spans="1:8">
      <c r="A316" s="116" t="s">
        <v>310</v>
      </c>
      <c r="B316" t="s">
        <v>614</v>
      </c>
      <c r="C316" s="117">
        <v>0.05</v>
      </c>
      <c r="D316" s="117">
        <f>ROUND((1+'Indicadores Financeiros'!$F$8)*(1+'Indicadores Financeiros'!$F$9)/(1-'Indicadores Financeiros'!$F$10-'Indicadores Financeiros'!$F$11-Tabela3[[#This Row],[ISS]])-1,4)</f>
        <v>0.25119999999999998</v>
      </c>
      <c r="G316" s="151"/>
      <c r="H316" s="117"/>
    </row>
    <row r="317" spans="1:8">
      <c r="A317" s="116" t="s">
        <v>288</v>
      </c>
      <c r="B317" t="s">
        <v>615</v>
      </c>
      <c r="C317" s="117">
        <v>0.02</v>
      </c>
      <c r="D317" s="117">
        <f>ROUND((1+'Indicadores Financeiros'!$F$8)*(1+'Indicadores Financeiros'!$F$9)/(1-'Indicadores Financeiros'!$F$10-'Indicadores Financeiros'!$F$11-Tabela3[[#This Row],[ISS]])-1,4)</f>
        <v>0.2114</v>
      </c>
      <c r="G317" s="151"/>
      <c r="H317" s="117"/>
    </row>
    <row r="318" spans="1:8">
      <c r="A318" s="116" t="s">
        <v>288</v>
      </c>
      <c r="B318" t="s">
        <v>616</v>
      </c>
      <c r="C318" s="117">
        <v>0.05</v>
      </c>
      <c r="D318" s="117">
        <f>ROUND((1+'Indicadores Financeiros'!$F$8)*(1+'Indicadores Financeiros'!$F$9)/(1-'Indicadores Financeiros'!$F$10-'Indicadores Financeiros'!$F$11-Tabela3[[#This Row],[ISS]])-1,4)</f>
        <v>0.25119999999999998</v>
      </c>
      <c r="G318" s="151"/>
      <c r="H318" s="117"/>
    </row>
    <row r="319" spans="1:8">
      <c r="A319" s="116" t="s">
        <v>288</v>
      </c>
      <c r="B319" t="s">
        <v>617</v>
      </c>
      <c r="C319" s="117">
        <v>0.02</v>
      </c>
      <c r="D319" s="117">
        <f>ROUND((1+'Indicadores Financeiros'!$F$8)*(1+'Indicadores Financeiros'!$F$9)/(1-'Indicadores Financeiros'!$F$10-'Indicadores Financeiros'!$F$11-Tabela3[[#This Row],[ISS]])-1,4)</f>
        <v>0.2114</v>
      </c>
      <c r="G319" s="151"/>
      <c r="H319" s="117"/>
    </row>
    <row r="320" spans="1:8">
      <c r="A320" s="116" t="s">
        <v>319</v>
      </c>
      <c r="B320" t="s">
        <v>618</v>
      </c>
      <c r="C320" s="117">
        <v>2.5000000000000001E-2</v>
      </c>
      <c r="D320" s="117">
        <f>ROUND((1+'Indicadores Financeiros'!$F$8)*(1+'Indicadores Financeiros'!$F$9)/(1-'Indicadores Financeiros'!$F$10-'Indicadores Financeiros'!$F$11-Tabela3[[#This Row],[ISS]])-1,4)</f>
        <v>0.21790000000000001</v>
      </c>
      <c r="G320" s="151"/>
      <c r="H320" s="117"/>
    </row>
    <row r="321" spans="1:8">
      <c r="A321" s="116" t="s">
        <v>301</v>
      </c>
      <c r="B321" t="s">
        <v>619</v>
      </c>
      <c r="C321" s="117">
        <v>0.05</v>
      </c>
      <c r="D321" s="117">
        <f>ROUND((1+'Indicadores Financeiros'!$F$8)*(1+'Indicadores Financeiros'!$F$9)/(1-'Indicadores Financeiros'!$F$10-'Indicadores Financeiros'!$F$11-Tabela3[[#This Row],[ISS]])-1,4)</f>
        <v>0.25119999999999998</v>
      </c>
      <c r="G321" s="151"/>
      <c r="H321" s="117"/>
    </row>
    <row r="322" spans="1:8">
      <c r="A322" s="116" t="s">
        <v>319</v>
      </c>
      <c r="B322" t="s">
        <v>620</v>
      </c>
      <c r="C322" s="117">
        <v>0.03</v>
      </c>
      <c r="D322" s="117">
        <f>ROUND((1+'Indicadores Financeiros'!$F$8)*(1+'Indicadores Financeiros'!$F$9)/(1-'Indicadores Financeiros'!$F$10-'Indicadores Financeiros'!$F$11-Tabela3[[#This Row],[ISS]])-1,4)</f>
        <v>0.22439999999999999</v>
      </c>
      <c r="G322" s="151"/>
      <c r="H322" s="117"/>
    </row>
    <row r="324" spans="1:8">
      <c r="G324" s="153" t="s">
        <v>621</v>
      </c>
    </row>
  </sheetData>
  <hyperlinks>
    <hyperlink ref="G324" r:id="rId1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E390C8C7FC9A4E93D6A32F42C3F984" ma:contentTypeVersion="18" ma:contentTypeDescription="Crie um novo documento." ma:contentTypeScope="" ma:versionID="1e4137a5e7bdbd3704f03355bc8a67f1">
  <xsd:schema xmlns:xsd="http://www.w3.org/2001/XMLSchema" xmlns:xs="http://www.w3.org/2001/XMLSchema" xmlns:p="http://schemas.microsoft.com/office/2006/metadata/properties" xmlns:ns2="11946691-2a99-4306-b69c-ac6113498c8b" xmlns:ns3="1abc064c-3308-455b-8134-af29abb73d9d" targetNamespace="http://schemas.microsoft.com/office/2006/metadata/properties" ma:root="true" ma:fieldsID="ff604411ffb147252dd3da1768463fcb" ns2:_="" ns3:_="">
    <xsd:import namespace="11946691-2a99-4306-b69c-ac6113498c8b"/>
    <xsd:import namespace="1abc064c-3308-455b-8134-af29abb73d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6691-2a99-4306-b69c-ac6113498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c064c-3308-455b-8134-af29abb73d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adea65-0c77-485e-96e9-7e2648e9ed7c}" ma:internalName="TaxCatchAll" ma:showField="CatchAllData" ma:web="1abc064c-3308-455b-8134-af29abb73d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946691-2a99-4306-b69c-ac6113498c8b">
      <Terms xmlns="http://schemas.microsoft.com/office/infopath/2007/PartnerControls"/>
    </lcf76f155ced4ddcb4097134ff3c332f>
    <TaxCatchAll xmlns="1abc064c-3308-455b-8134-af29abb73d9d" xsi:nil="true"/>
  </documentManagement>
</p:properties>
</file>

<file path=customXml/itemProps1.xml><?xml version="1.0" encoding="utf-8"?>
<ds:datastoreItem xmlns:ds="http://schemas.openxmlformats.org/officeDocument/2006/customXml" ds:itemID="{8DF4B712-990B-4D5A-8B48-0E49989C3254}"/>
</file>

<file path=customXml/itemProps2.xml><?xml version="1.0" encoding="utf-8"?>
<ds:datastoreItem xmlns:ds="http://schemas.openxmlformats.org/officeDocument/2006/customXml" ds:itemID="{E7BB24C4-9B22-4F96-9A6D-EDE529FBF50A}"/>
</file>

<file path=customXml/itemProps3.xml><?xml version="1.0" encoding="utf-8"?>
<ds:datastoreItem xmlns:ds="http://schemas.openxmlformats.org/officeDocument/2006/customXml" ds:itemID="{F41877D3-443A-44B7-9455-6EFE234A8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Tribunal de Justiça do Estado de São Paulo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imgaem</dc:creator>
  <cp:keywords/>
  <dc:description/>
  <cp:lastModifiedBy/>
  <cp:revision/>
  <dcterms:created xsi:type="dcterms:W3CDTF">2016-04-25T14:08:48Z</dcterms:created>
  <dcterms:modified xsi:type="dcterms:W3CDTF">2024-06-14T19:27:11Z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0x01010073E390C8C7FC9A4E93D6A32F42C3F984</vt:lpwstr>
  </property>
  <property fmtid="{D5CDD505-2E9C-101B-9397-08002B2CF9AE}" pid="3" name="WorkbookGuid">
    <vt:lpwstr>2271443d-021a-4059-a5f4-c381df56440e</vt:lpwstr>
  </property>
  <property fmtid="{D5CDD505-2E9C-101B-9397-08002B2CF9AE}" pid="4" name="MediaServiceImageTags">
    <vt:lpwstr/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FileLinksToFiles" visible="true"/>
      </mso:documentControls>
    </mso:qat>
  </mso:ribbon>
</mso:customUI>
</file>